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0580" tabRatio="880" activeTab="1"/>
  </bookViews>
  <sheets>
    <sheet name="示范表" sheetId="1" r:id="rId1"/>
    <sheet name="原表" sheetId="2" r:id="rId2"/>
  </sheets>
  <definedNames>
    <definedName name="_xlnm.Print_Area" localSheetId="0">'示范表'!$A$1:$P$32</definedName>
    <definedName name="_xlnm.Print_Area" localSheetId="1">'原表'!$A$1:$P$32</definedName>
  </definedNames>
  <calcPr fullCalcOnLoad="1"/>
</workbook>
</file>

<file path=xl/sharedStrings.xml><?xml version="1.0" encoding="utf-8"?>
<sst xmlns="http://schemas.openxmlformats.org/spreadsheetml/2006/main" count="225" uniqueCount="76">
  <si>
    <t>系部：</t>
  </si>
  <si>
    <t>矿业系</t>
  </si>
  <si>
    <t>教研室：</t>
  </si>
  <si>
    <t>采矿</t>
  </si>
  <si>
    <t>教师姓名：</t>
  </si>
  <si>
    <t>张三</t>
  </si>
  <si>
    <t>职称：</t>
  </si>
  <si>
    <t>副教授</t>
  </si>
  <si>
    <r>
      <t>学期：20</t>
    </r>
    <r>
      <rPr>
        <sz val="12"/>
        <color indexed="10"/>
        <rFont val="黑体"/>
        <family val="3"/>
      </rPr>
      <t>14</t>
    </r>
    <r>
      <rPr>
        <sz val="12"/>
        <rFont val="黑体"/>
        <family val="3"/>
      </rPr>
      <t>/20</t>
    </r>
    <r>
      <rPr>
        <sz val="12"/>
        <color indexed="10"/>
        <rFont val="黑体"/>
        <family val="3"/>
      </rPr>
      <t>15</t>
    </r>
    <r>
      <rPr>
        <sz val="12"/>
        <rFont val="黑体"/>
        <family val="3"/>
      </rPr>
      <t xml:space="preserve">  学年第</t>
    </r>
    <r>
      <rPr>
        <sz val="12"/>
        <color indexed="10"/>
        <rFont val="黑体"/>
        <family val="3"/>
      </rPr>
      <t>一</t>
    </r>
    <r>
      <rPr>
        <sz val="12"/>
        <rFont val="黑体"/>
        <family val="3"/>
      </rPr>
      <t>学期</t>
    </r>
  </si>
  <si>
    <t>教学
类别</t>
  </si>
  <si>
    <t>教学工作名称</t>
  </si>
  <si>
    <t>考核
类别</t>
  </si>
  <si>
    <t>识别符号</t>
  </si>
  <si>
    <t>主讲/
助课</t>
  </si>
  <si>
    <t>专业班级</t>
  </si>
  <si>
    <t>学生人数</t>
  </si>
  <si>
    <t>学时/
周数</t>
  </si>
  <si>
    <t>上浮系数/循环次数/教师人数</t>
  </si>
  <si>
    <t>折合
班数</t>
  </si>
  <si>
    <t>系数Kn</t>
  </si>
  <si>
    <t>上课
系数</t>
  </si>
  <si>
    <t>教分计算公式</t>
  </si>
  <si>
    <t>教分</t>
  </si>
  <si>
    <t>系部
审核</t>
  </si>
  <si>
    <t>本科</t>
  </si>
  <si>
    <t>理论教学</t>
  </si>
  <si>
    <t>井巷工程</t>
  </si>
  <si>
    <t>B</t>
  </si>
  <si>
    <t>主讲</t>
  </si>
  <si>
    <r>
      <t>采矿</t>
    </r>
    <r>
      <rPr>
        <sz val="10"/>
        <color indexed="10"/>
        <rFont val="Times New Roman"/>
        <family val="1"/>
      </rPr>
      <t>14-1~3</t>
    </r>
  </si>
  <si>
    <t>实验教学</t>
  </si>
  <si>
    <t>采矿学</t>
  </si>
  <si>
    <t>/</t>
  </si>
  <si>
    <r>
      <t>采矿</t>
    </r>
    <r>
      <rPr>
        <sz val="12"/>
        <color indexed="10"/>
        <rFont val="Times New Roman"/>
        <family val="1"/>
      </rPr>
      <t>14-2</t>
    </r>
  </si>
  <si>
    <t>课设实训</t>
  </si>
  <si>
    <t>井巷工程课设</t>
  </si>
  <si>
    <r>
      <t>采矿</t>
    </r>
    <r>
      <rPr>
        <sz val="12"/>
        <color indexed="10"/>
        <rFont val="Times New Roman"/>
        <family val="1"/>
      </rPr>
      <t>14-1</t>
    </r>
  </si>
  <si>
    <t>采煤机操作实训</t>
  </si>
  <si>
    <t>实习实践</t>
  </si>
  <si>
    <t>地质实习(与李四合带)</t>
  </si>
  <si>
    <t>野外</t>
  </si>
  <si>
    <r>
      <t>矿加</t>
    </r>
    <r>
      <rPr>
        <sz val="12"/>
        <color indexed="10"/>
        <rFont val="Times New Roman"/>
        <family val="1"/>
      </rPr>
      <t>14-2</t>
    </r>
  </si>
  <si>
    <t>毕业设计</t>
  </si>
  <si>
    <t>采矿14毕业设计</t>
  </si>
  <si>
    <t>设计</t>
  </si>
  <si>
    <r>
      <t>采矿</t>
    </r>
    <r>
      <rPr>
        <sz val="12"/>
        <color indexed="10"/>
        <rFont val="Times New Roman"/>
        <family val="1"/>
      </rPr>
      <t>14</t>
    </r>
  </si>
  <si>
    <t>专科</t>
  </si>
  <si>
    <t>高等数学</t>
  </si>
  <si>
    <t>考试</t>
  </si>
  <si>
    <t>Z</t>
  </si>
  <si>
    <r>
      <t>开采</t>
    </r>
    <r>
      <rPr>
        <sz val="12"/>
        <color indexed="10"/>
        <rFont val="Times New Roman"/>
        <family val="1"/>
      </rPr>
      <t>15</t>
    </r>
  </si>
  <si>
    <t>工程制图</t>
  </si>
  <si>
    <r>
      <t>深加工</t>
    </r>
    <r>
      <rPr>
        <sz val="12"/>
        <color indexed="10"/>
        <rFont val="Times New Roman"/>
        <family val="1"/>
      </rPr>
      <t>14</t>
    </r>
  </si>
  <si>
    <t>煤矿开采</t>
  </si>
  <si>
    <r>
      <t>开采</t>
    </r>
    <r>
      <rPr>
        <sz val="12"/>
        <color indexed="10"/>
        <rFont val="Times New Roman"/>
        <family val="1"/>
      </rPr>
      <t>14</t>
    </r>
  </si>
  <si>
    <t>工程测量</t>
  </si>
  <si>
    <t>校内</t>
  </si>
  <si>
    <r>
      <t>建管</t>
    </r>
    <r>
      <rPr>
        <sz val="12"/>
        <color indexed="10"/>
        <rFont val="Times New Roman"/>
        <family val="1"/>
      </rPr>
      <t>15</t>
    </r>
  </si>
  <si>
    <t>建筑工程管理毕业设计</t>
  </si>
  <si>
    <t>论文</t>
  </si>
  <si>
    <r>
      <t>建管</t>
    </r>
    <r>
      <rPr>
        <sz val="12"/>
        <color indexed="10"/>
        <rFont val="Times New Roman"/>
        <family val="1"/>
      </rPr>
      <t>14</t>
    </r>
  </si>
  <si>
    <t>其它
教学
工作</t>
  </si>
  <si>
    <t>教学工作量合计</t>
  </si>
  <si>
    <t>工
作
量
评
定</t>
  </si>
  <si>
    <t>教师本人</t>
  </si>
  <si>
    <t xml:space="preserve"> 教师本人对以上统计计算工作量的意见：
</t>
  </si>
  <si>
    <r>
      <t xml:space="preserve"> 教师本人签字：
                         年 </t>
    </r>
    <r>
      <rPr>
        <sz val="11"/>
        <color indexed="8"/>
        <rFont val="宋体"/>
        <family val="0"/>
      </rPr>
      <t xml:space="preserve">  </t>
    </r>
    <r>
      <rPr>
        <sz val="12"/>
        <rFont val="宋体"/>
        <family val="0"/>
      </rPr>
      <t xml:space="preserve"> 月</t>
    </r>
    <r>
      <rPr>
        <sz val="11"/>
        <color indexed="8"/>
        <rFont val="宋体"/>
        <family val="0"/>
      </rPr>
      <t xml:space="preserve">  </t>
    </r>
    <r>
      <rPr>
        <sz val="12"/>
        <rFont val="宋体"/>
        <family val="0"/>
      </rPr>
      <t xml:space="preserve">  日</t>
    </r>
  </si>
  <si>
    <t>教 研 室</t>
  </si>
  <si>
    <t xml:space="preserve"> 1、工作质量评定：
 2、工作量审定：</t>
  </si>
  <si>
    <r>
      <t xml:space="preserve"> 教研室主任签字：
                         年 </t>
    </r>
    <r>
      <rPr>
        <sz val="11"/>
        <color indexed="8"/>
        <rFont val="宋体"/>
        <family val="0"/>
      </rPr>
      <t xml:space="preserve">  </t>
    </r>
    <r>
      <rPr>
        <sz val="12"/>
        <rFont val="宋体"/>
        <family val="0"/>
      </rPr>
      <t xml:space="preserve"> 月</t>
    </r>
    <r>
      <rPr>
        <sz val="11"/>
        <color indexed="8"/>
        <rFont val="宋体"/>
        <family val="0"/>
      </rPr>
      <t xml:space="preserve">  </t>
    </r>
    <r>
      <rPr>
        <sz val="12"/>
        <rFont val="宋体"/>
        <family val="0"/>
      </rPr>
      <t xml:space="preserve">  日</t>
    </r>
  </si>
  <si>
    <t>系（部）</t>
  </si>
  <si>
    <r>
      <t xml:space="preserve"> 教学主任签字：
                         年  </t>
    </r>
    <r>
      <rPr>
        <sz val="11"/>
        <color indexed="8"/>
        <rFont val="宋体"/>
        <family val="0"/>
      </rPr>
      <t xml:space="preserve">  </t>
    </r>
    <r>
      <rPr>
        <sz val="12"/>
        <rFont val="宋体"/>
        <family val="0"/>
      </rPr>
      <t xml:space="preserve">月 </t>
    </r>
    <r>
      <rPr>
        <sz val="11"/>
        <color indexed="8"/>
        <rFont val="宋体"/>
        <family val="0"/>
      </rPr>
      <t xml:space="preserve">  </t>
    </r>
    <r>
      <rPr>
        <sz val="12"/>
        <rFont val="宋体"/>
        <family val="0"/>
      </rPr>
      <t xml:space="preserve"> 日</t>
    </r>
  </si>
  <si>
    <t>备
注</t>
  </si>
  <si>
    <r>
      <t xml:space="preserve"> 1、考核类别：</t>
    </r>
    <r>
      <rPr>
        <b/>
        <sz val="11"/>
        <rFont val="宋体"/>
        <family val="0"/>
      </rPr>
      <t>理论课</t>
    </r>
    <r>
      <rPr>
        <sz val="11"/>
        <rFont val="宋体"/>
        <family val="0"/>
      </rPr>
      <t>选择考试/考查；</t>
    </r>
    <r>
      <rPr>
        <b/>
        <sz val="11"/>
        <rFont val="宋体"/>
        <family val="0"/>
      </rPr>
      <t>实习</t>
    </r>
    <r>
      <rPr>
        <sz val="11"/>
        <rFont val="宋体"/>
        <family val="0"/>
      </rPr>
      <t>选择校外/校内/井下/野外/分散/社会；</t>
    </r>
    <r>
      <rPr>
        <b/>
        <sz val="11"/>
        <rFont val="宋体"/>
        <family val="0"/>
      </rPr>
      <t>毕业设计（论文）</t>
    </r>
    <r>
      <rPr>
        <sz val="11"/>
        <rFont val="宋体"/>
        <family val="0"/>
      </rPr>
      <t>选择论文/设计；</t>
    </r>
    <r>
      <rPr>
        <b/>
        <sz val="11"/>
        <rFont val="宋体"/>
        <family val="0"/>
      </rPr>
      <t>实验课、课程设计</t>
    </r>
    <r>
      <rPr>
        <sz val="11"/>
        <rFont val="宋体"/>
        <family val="0"/>
      </rPr>
      <t>不填。
 2、识别符号：</t>
    </r>
    <r>
      <rPr>
        <b/>
        <sz val="11"/>
        <rFont val="宋体"/>
        <family val="0"/>
      </rPr>
      <t>本科</t>
    </r>
    <r>
      <rPr>
        <sz val="11"/>
        <rFont val="宋体"/>
        <family val="0"/>
      </rPr>
      <t>选择B；</t>
    </r>
    <r>
      <rPr>
        <b/>
        <sz val="11"/>
        <rFont val="宋体"/>
        <family val="0"/>
      </rPr>
      <t>专科</t>
    </r>
    <r>
      <rPr>
        <sz val="11"/>
        <rFont val="宋体"/>
        <family val="0"/>
      </rPr>
      <t>选择Z。
 3、上浮系数/循环次数/教师人数：上浮系数指</t>
    </r>
    <r>
      <rPr>
        <b/>
        <sz val="11"/>
        <rFont val="宋体"/>
        <family val="0"/>
      </rPr>
      <t>理论课</t>
    </r>
    <r>
      <rPr>
        <sz val="11"/>
        <rFont val="宋体"/>
        <family val="0"/>
      </rPr>
      <t>；循环次数指</t>
    </r>
    <r>
      <rPr>
        <b/>
        <sz val="11"/>
        <rFont val="宋体"/>
        <family val="0"/>
      </rPr>
      <t>实验课</t>
    </r>
    <r>
      <rPr>
        <sz val="11"/>
        <rFont val="宋体"/>
        <family val="0"/>
      </rPr>
      <t>；教师人数</t>
    </r>
    <r>
      <rPr>
        <b/>
        <sz val="11"/>
        <rFont val="宋体"/>
        <family val="0"/>
      </rPr>
      <t>指实习实践</t>
    </r>
    <r>
      <rPr>
        <sz val="11"/>
        <rFont val="宋体"/>
        <family val="0"/>
      </rPr>
      <t>。
 4、教学类别根据需要可以加行，没有该类别的可以删除行。
 5、带“/”栏目不必填写；带“-”和“1”的栏目为自动生成。</t>
    </r>
  </si>
  <si>
    <t>学期：20  /20    学年第  学期</t>
  </si>
  <si>
    <t>山西能源学院教师工作量卡片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</si>
</sst>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</numFmts>
  <fonts count="40">
    <font>
      <sz val="11"/>
      <color indexed="8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2"/>
      <color indexed="10"/>
      <name val="黑体"/>
      <family val="3"/>
    </font>
    <font>
      <sz val="12"/>
      <color indexed="10"/>
      <name val="Times New Roman"/>
      <family val="1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3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2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16" borderId="5" applyNumberFormat="0" applyAlignment="0" applyProtection="0"/>
    <xf numFmtId="0" fontId="36" fillId="17" borderId="6" applyNumberFormat="0" applyAlignment="0" applyProtection="0"/>
    <xf numFmtId="0" fontId="2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2" fillId="22" borderId="0" applyNumberFormat="0" applyBorder="0" applyAlignment="0" applyProtection="0"/>
    <xf numFmtId="0" fontId="20" fillId="16" borderId="8" applyNumberFormat="0" applyAlignment="0" applyProtection="0"/>
    <xf numFmtId="0" fontId="29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18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>
      <alignment horizontal="left" vertical="center" wrapText="1"/>
    </xf>
    <xf numFmtId="0" fontId="17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 applyProtection="1">
      <alignment horizontal="left" vertical="center" wrapText="1"/>
      <protection/>
    </xf>
    <xf numFmtId="0" fontId="6" fillId="0" borderId="10" xfId="0" applyNumberFormat="1" applyFont="1" applyBorder="1" applyAlignment="1">
      <alignment horizontal="center" vertical="center" textRotation="255" wrapText="1"/>
    </xf>
    <xf numFmtId="0" fontId="6" fillId="0" borderId="10" xfId="0" applyNumberFormat="1" applyFont="1" applyBorder="1" applyAlignment="1">
      <alignment horizontal="center" vertical="center" textRotation="255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2"/>
  <sheetViews>
    <sheetView zoomScalePageLayoutView="0" workbookViewId="0" topLeftCell="A1">
      <pane xSplit="16" topLeftCell="Q1" activePane="topRight" state="frozen"/>
      <selection pane="topLeft" activeCell="A1" sqref="A1"/>
      <selection pane="topRight" activeCell="N17" sqref="N17"/>
    </sheetView>
  </sheetViews>
  <sheetFormatPr defaultColWidth="9.00390625" defaultRowHeight="13.5"/>
  <cols>
    <col min="1" max="1" width="3.625" style="7" customWidth="1"/>
    <col min="2" max="2" width="5.125" style="7" customWidth="1"/>
    <col min="3" max="3" width="21.625" style="7" customWidth="1"/>
    <col min="4" max="5" width="5.125" style="7" customWidth="1"/>
    <col min="6" max="6" width="6.375" style="7" customWidth="1"/>
    <col min="7" max="7" width="11.625" style="26" customWidth="1"/>
    <col min="8" max="8" width="5.125" style="7" customWidth="1"/>
    <col min="9" max="9" width="6.25390625" style="7" customWidth="1"/>
    <col min="10" max="10" width="8.75390625" style="7" customWidth="1"/>
    <col min="11" max="11" width="5.125" style="8" customWidth="1"/>
    <col min="12" max="13" width="5.125" style="7" customWidth="1"/>
    <col min="14" max="14" width="30.625" style="7" customWidth="1"/>
    <col min="15" max="15" width="7.125" style="7" customWidth="1"/>
    <col min="16" max="16" width="6.625" style="7" customWidth="1"/>
    <col min="17" max="16384" width="9.00390625" style="7" customWidth="1"/>
  </cols>
  <sheetData>
    <row r="1" spans="1:16" s="1" customFormat="1" ht="27" customHeight="1">
      <c r="A1" s="36" t="s">
        <v>75</v>
      </c>
      <c r="B1" s="36"/>
      <c r="C1" s="36"/>
      <c r="D1" s="36"/>
      <c r="E1" s="36"/>
      <c r="F1" s="36"/>
      <c r="G1" s="37"/>
      <c r="H1" s="36"/>
      <c r="I1" s="36"/>
      <c r="J1" s="36"/>
      <c r="K1" s="38"/>
      <c r="L1" s="36"/>
      <c r="M1" s="36"/>
      <c r="N1" s="36"/>
      <c r="O1" s="36"/>
      <c r="P1" s="36"/>
    </row>
    <row r="2" spans="1:16" s="2" customFormat="1" ht="12" customHeight="1">
      <c r="A2" s="9"/>
      <c r="B2" s="9"/>
      <c r="C2" s="10"/>
      <c r="D2" s="10"/>
      <c r="E2" s="10"/>
      <c r="F2" s="10"/>
      <c r="G2" s="27"/>
      <c r="H2" s="10"/>
      <c r="I2" s="10"/>
      <c r="J2" s="10"/>
      <c r="K2" s="15"/>
      <c r="L2" s="10"/>
      <c r="M2" s="10"/>
      <c r="N2" s="10"/>
      <c r="O2" s="16"/>
      <c r="P2" s="17"/>
    </row>
    <row r="3" spans="1:16" s="3" customFormat="1" ht="24.75" customHeight="1">
      <c r="A3" s="39" t="s">
        <v>0</v>
      </c>
      <c r="B3" s="39"/>
      <c r="C3" s="28" t="s">
        <v>1</v>
      </c>
      <c r="D3" s="39" t="s">
        <v>2</v>
      </c>
      <c r="E3" s="39"/>
      <c r="F3" s="40" t="s">
        <v>3</v>
      </c>
      <c r="G3" s="41"/>
      <c r="H3" s="39" t="s">
        <v>4</v>
      </c>
      <c r="I3" s="39"/>
      <c r="J3" s="34" t="s">
        <v>5</v>
      </c>
      <c r="K3" s="19" t="s">
        <v>6</v>
      </c>
      <c r="L3" s="40" t="s">
        <v>7</v>
      </c>
      <c r="M3" s="40"/>
      <c r="N3" s="39" t="s">
        <v>8</v>
      </c>
      <c r="O3" s="39"/>
      <c r="P3" s="39"/>
    </row>
    <row r="4" spans="1:256" s="4" customFormat="1" ht="36" customHeight="1">
      <c r="A4" s="42" t="s">
        <v>9</v>
      </c>
      <c r="B4" s="42"/>
      <c r="C4" s="13" t="s">
        <v>10</v>
      </c>
      <c r="D4" s="13" t="s">
        <v>11</v>
      </c>
      <c r="E4" s="13" t="s">
        <v>12</v>
      </c>
      <c r="F4" s="13" t="s">
        <v>13</v>
      </c>
      <c r="G4" s="13" t="s">
        <v>14</v>
      </c>
      <c r="H4" s="13" t="s">
        <v>15</v>
      </c>
      <c r="I4" s="13" t="s">
        <v>16</v>
      </c>
      <c r="J4" s="20" t="s">
        <v>17</v>
      </c>
      <c r="K4" s="21" t="s">
        <v>18</v>
      </c>
      <c r="L4" s="13" t="s">
        <v>19</v>
      </c>
      <c r="M4" s="13" t="s">
        <v>20</v>
      </c>
      <c r="N4" s="13" t="s">
        <v>21</v>
      </c>
      <c r="O4" s="13" t="s">
        <v>22</v>
      </c>
      <c r="P4" s="13" t="s">
        <v>23</v>
      </c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</row>
    <row r="5" spans="1:16" s="5" customFormat="1" ht="21.75" customHeight="1">
      <c r="A5" s="56" t="s">
        <v>24</v>
      </c>
      <c r="B5" s="48" t="s">
        <v>25</v>
      </c>
      <c r="C5" s="29" t="s">
        <v>26</v>
      </c>
      <c r="D5" s="30" t="s">
        <v>48</v>
      </c>
      <c r="E5" s="30" t="s">
        <v>27</v>
      </c>
      <c r="F5" s="30" t="s">
        <v>28</v>
      </c>
      <c r="G5" s="31" t="s">
        <v>29</v>
      </c>
      <c r="H5" s="29">
        <v>50</v>
      </c>
      <c r="I5" s="29">
        <v>40</v>
      </c>
      <c r="J5" s="35">
        <v>0.1</v>
      </c>
      <c r="K5" s="22">
        <f aca="true" t="shared" si="0" ref="K5:K10">IF(E5="B",INT((H5/35)*100)/100,"-")</f>
        <v>1.42</v>
      </c>
      <c r="L5" s="14">
        <f>IF(K5&lt;1.02,1,IF(K5&lt;1.37,1.1,IF(K5&lt;1.71,1.2,IF(K5&lt;2,1.4,IF(K5&lt;2.28,1.5,IF(K5&lt;2.57,1.6,IF(K5&lt;2.98,1.7,"-")))))))</f>
        <v>1.2</v>
      </c>
      <c r="M5" s="14">
        <f>IF(F5="主讲",1,IF(F5="助课",0.3,"-"))</f>
        <v>1</v>
      </c>
      <c r="N5" s="14" t="str">
        <f>IF(AND(D5="考试",K5&gt;=1),"["&amp;I5&amp;"×("&amp;L5&amp;"＋"&amp;J5&amp;")+4×"&amp;K5&amp;"]×"&amp;M5,IF(AND(D5="考试",K5&lt;1),"["&amp;I5&amp;"×("&amp;L5&amp;"＋"&amp;J5&amp;")+4×1]×"&amp;M5,IF(D5="考查","["&amp;I5&amp;"×("&amp;L5&amp;"＋"&amp;J5&amp;")]×"&amp;M5,"-")))</f>
        <v>[40×(1.2＋0.1)+4×1.42]×1</v>
      </c>
      <c r="O5" s="23">
        <f>IF(AND(D5="考试",K5&gt;=1),(I5*(L5+J5)+4*K5)*M5,IF(AND(D5="考试",K5&lt;1),(I5*(L5+J5)+4*1)*M5,IF(D5="考查",I5*(L5+J5)*M5,"-")))</f>
        <v>57.68</v>
      </c>
      <c r="P5" s="14"/>
    </row>
    <row r="6" spans="1:16" s="5" customFormat="1" ht="21.75" customHeight="1">
      <c r="A6" s="56"/>
      <c r="B6" s="48"/>
      <c r="C6" s="29"/>
      <c r="D6" s="30" t="s">
        <v>48</v>
      </c>
      <c r="E6" s="30" t="s">
        <v>27</v>
      </c>
      <c r="F6" s="30" t="s">
        <v>28</v>
      </c>
      <c r="G6" s="32"/>
      <c r="H6" s="29">
        <v>20</v>
      </c>
      <c r="I6" s="29">
        <v>40</v>
      </c>
      <c r="J6" s="35">
        <v>0</v>
      </c>
      <c r="K6" s="22">
        <f t="shared" si="0"/>
        <v>0.57</v>
      </c>
      <c r="L6" s="14">
        <f>IF(K6&lt;1.02,1,IF(K6&lt;1.37,1.1,IF(K6&lt;1.71,1.2,IF(K6&lt;2,1.4,IF(K6&lt;2.28,1.5,IF(K6&lt;2.57,1.6,IF(K6&lt;2.98,1.7,"-")))))))</f>
        <v>1</v>
      </c>
      <c r="M6" s="14">
        <f>IF(F6="主讲",1,IF(F6="助课",0.3,"-"))</f>
        <v>1</v>
      </c>
      <c r="N6" s="14" t="str">
        <f>IF(AND(D6="考试",K6&gt;=1),"["&amp;I6&amp;"×("&amp;L6&amp;"＋"&amp;J6&amp;")+4×"&amp;K6&amp;"]×"&amp;M6,IF(AND(D6="考试",K6&lt;1),"["&amp;I6&amp;"×("&amp;L6&amp;"＋"&amp;J6&amp;")+4×1]×"&amp;M6,IF(D6="考查","["&amp;I6&amp;"×("&amp;L6&amp;"＋"&amp;J6&amp;")]×"&amp;M6,"-")))</f>
        <v>[40×(1＋0)+4×1]×1</v>
      </c>
      <c r="O6" s="23">
        <f>IF(AND(D6="考试",K6&gt;=1),(I6*(L6+J6)+4*K6)*M6,IF(AND(D6="考试",K6&lt;1),(I6*(L6+J6)+4*1)*M6,IF(D6="考查",I6*(L6+J6)*M6,"-")))</f>
        <v>44</v>
      </c>
      <c r="P6" s="14"/>
    </row>
    <row r="7" spans="1:16" s="5" customFormat="1" ht="21.75" customHeight="1">
      <c r="A7" s="56"/>
      <c r="B7" s="48" t="s">
        <v>30</v>
      </c>
      <c r="C7" s="29" t="s">
        <v>31</v>
      </c>
      <c r="D7" s="14" t="s">
        <v>32</v>
      </c>
      <c r="E7" s="30" t="s">
        <v>27</v>
      </c>
      <c r="F7" s="30" t="s">
        <v>28</v>
      </c>
      <c r="G7" s="32" t="s">
        <v>33</v>
      </c>
      <c r="H7" s="29">
        <v>35</v>
      </c>
      <c r="I7" s="29">
        <v>2</v>
      </c>
      <c r="J7" s="35">
        <v>3</v>
      </c>
      <c r="K7" s="24">
        <f>IF(E7="B",INT((H7/35)*100)/100/J7,"-")</f>
        <v>0.3333333333333333</v>
      </c>
      <c r="L7" s="14">
        <f>IF(K7&lt;0.25,0.5,IF(K7&lt;0.33,0.6,IF(K7&lt;0.5,0.7,IF(K7&lt;1,0.8,IF(K7&lt;2,1,IF(K7&lt;3,1.2,IF(K7&lt;4,1.4,IF(K7&lt;5,1.6,"-"))))))))</f>
        <v>0.7</v>
      </c>
      <c r="M7" s="14">
        <f>IF(F7="主讲",1,IF(F7="助课",0.3,"-"))</f>
        <v>1</v>
      </c>
      <c r="N7" s="14" t="str">
        <f>IF(E7="B","（"&amp;I7&amp;"×"&amp;L7&amp;"×"&amp;J7&amp;")×"&amp;M7,"-")</f>
        <v>（2×0.7×3)×1</v>
      </c>
      <c r="O7" s="23">
        <f>IF(E7="B",I7*J7*L7*M7,"-")</f>
        <v>4.199999999999999</v>
      </c>
      <c r="P7" s="14"/>
    </row>
    <row r="8" spans="1:16" s="5" customFormat="1" ht="21.75" customHeight="1">
      <c r="A8" s="56"/>
      <c r="B8" s="48"/>
      <c r="C8" s="29"/>
      <c r="D8" s="14" t="s">
        <v>32</v>
      </c>
      <c r="E8" s="30"/>
      <c r="F8" s="14"/>
      <c r="G8" s="32"/>
      <c r="H8" s="29"/>
      <c r="I8" s="29"/>
      <c r="J8" s="35"/>
      <c r="K8" s="24" t="str">
        <f>IF(E8="B",INT((H8/35)*100)/100/J8,"-")</f>
        <v>-</v>
      </c>
      <c r="L8" s="14" t="str">
        <f>IF(K8&lt;0.25,0.5,IF(K8&lt;0.33,0.6,IF(K8&lt;0.5,0.7,IF(K8&lt;1,0.8,IF(K8&lt;2,1,IF(K8&lt;3,1.2,IF(K8&lt;4,1.4,IF(K8&lt;5,1.6,"-"))))))))</f>
        <v>-</v>
      </c>
      <c r="M8" s="14" t="str">
        <f>IF(F8="主讲",1,IF(F8="助课",0.3,"-"))</f>
        <v>-</v>
      </c>
      <c r="N8" s="14" t="str">
        <f>IF(E8="B","（"&amp;I8&amp;"×"&amp;L8&amp;"×"&amp;J8&amp;")×"&amp;M8,"-")</f>
        <v>-</v>
      </c>
      <c r="O8" s="23" t="str">
        <f>IF(E8="B",I8*J8*L8*M8,"-")</f>
        <v>-</v>
      </c>
      <c r="P8" s="14"/>
    </row>
    <row r="9" spans="1:16" s="5" customFormat="1" ht="21.75" customHeight="1">
      <c r="A9" s="56"/>
      <c r="B9" s="49" t="s">
        <v>34</v>
      </c>
      <c r="C9" s="29" t="s">
        <v>35</v>
      </c>
      <c r="D9" s="14" t="s">
        <v>32</v>
      </c>
      <c r="E9" s="30" t="s">
        <v>27</v>
      </c>
      <c r="F9" s="14" t="s">
        <v>32</v>
      </c>
      <c r="G9" s="32" t="s">
        <v>36</v>
      </c>
      <c r="H9" s="29">
        <v>18</v>
      </c>
      <c r="I9" s="29">
        <v>2</v>
      </c>
      <c r="J9" s="14" t="s">
        <v>32</v>
      </c>
      <c r="K9" s="24">
        <f t="shared" si="0"/>
        <v>0.51</v>
      </c>
      <c r="L9" s="14">
        <f>IF(K9&lt;0.28,8,IF(K9&lt;0.43,10,IF(K9&lt;0.571,12,IF(K9&lt;1.143,14,IF(K9&lt;=1.714,16,IF(K9&lt;2.286,18,"-"))))))</f>
        <v>12</v>
      </c>
      <c r="M9" s="14" t="s">
        <v>32</v>
      </c>
      <c r="N9" s="14" t="str">
        <f>IF(E9="B","（"&amp;I9&amp;"×"&amp;L9&amp;")","-")</f>
        <v>（2×12)</v>
      </c>
      <c r="O9" s="23">
        <f>IF(E9="B",I9*L9,"-")</f>
        <v>24</v>
      </c>
      <c r="P9" s="14"/>
    </row>
    <row r="10" spans="1:16" s="5" customFormat="1" ht="21.75" customHeight="1">
      <c r="A10" s="56"/>
      <c r="B10" s="50"/>
      <c r="C10" s="29" t="s">
        <v>37</v>
      </c>
      <c r="D10" s="14" t="s">
        <v>32</v>
      </c>
      <c r="E10" s="30" t="s">
        <v>27</v>
      </c>
      <c r="F10" s="14" t="s">
        <v>32</v>
      </c>
      <c r="G10" s="32" t="s">
        <v>33</v>
      </c>
      <c r="H10" s="29">
        <v>20</v>
      </c>
      <c r="I10" s="29">
        <v>4</v>
      </c>
      <c r="J10" s="14" t="s">
        <v>32</v>
      </c>
      <c r="K10" s="24">
        <f t="shared" si="0"/>
        <v>0.57</v>
      </c>
      <c r="L10" s="14">
        <f>IF(K10&lt;0.28,8,IF(K10&lt;0.43,10,IF(K10&lt;0.571,12,IF(K10&lt;1.143,14,IF(K10&lt;=1.714,16,IF(K10&lt;2.286,18,"-"))))))</f>
        <v>12</v>
      </c>
      <c r="M10" s="14" t="s">
        <v>32</v>
      </c>
      <c r="N10" s="14" t="str">
        <f>IF(E10="B","（"&amp;I10&amp;"×"&amp;L10&amp;")","-")</f>
        <v>（4×12)</v>
      </c>
      <c r="O10" s="23">
        <f>IF(E10="B",I10*L10,"-")</f>
        <v>48</v>
      </c>
      <c r="P10" s="14"/>
    </row>
    <row r="11" spans="1:16" s="5" customFormat="1" ht="21.75" customHeight="1">
      <c r="A11" s="56"/>
      <c r="B11" s="48" t="s">
        <v>38</v>
      </c>
      <c r="C11" s="29" t="s">
        <v>39</v>
      </c>
      <c r="D11" s="30" t="s">
        <v>40</v>
      </c>
      <c r="E11" s="30" t="s">
        <v>27</v>
      </c>
      <c r="F11" s="14" t="s">
        <v>32</v>
      </c>
      <c r="G11" s="32" t="s">
        <v>41</v>
      </c>
      <c r="H11" s="29">
        <v>16</v>
      </c>
      <c r="I11" s="29">
        <v>2</v>
      </c>
      <c r="J11" s="35">
        <v>2</v>
      </c>
      <c r="K11" s="24">
        <f>IF(H11&lt;35,1,IF(E11="B",INT((H11/35)*100)/100,"-"))</f>
        <v>1</v>
      </c>
      <c r="L11" s="14">
        <f>IF(D11="校外",20,IF(D11="井下",25,IF(D11="野外",25,IF(D11="校内",10,IF(D11="分散",5,IF(D11="社会",5,"-"))))))</f>
        <v>25</v>
      </c>
      <c r="M11" s="14" t="s">
        <v>32</v>
      </c>
      <c r="N11" s="14" t="str">
        <f>IF(E11="B","("&amp;I11&amp;"×"&amp;K11&amp;"×"&amp;L11&amp;")/"&amp;J11,"-")</f>
        <v>(2×1×25)/2</v>
      </c>
      <c r="O11" s="23">
        <f>IF(E11="B",I11*K11*L11/J11,"-")</f>
        <v>25</v>
      </c>
      <c r="P11" s="14"/>
    </row>
    <row r="12" spans="1:16" s="5" customFormat="1" ht="21.75" customHeight="1">
      <c r="A12" s="56"/>
      <c r="B12" s="48"/>
      <c r="C12" s="29"/>
      <c r="D12" s="30"/>
      <c r="E12" s="30"/>
      <c r="F12" s="14" t="s">
        <v>32</v>
      </c>
      <c r="G12" s="32"/>
      <c r="H12" s="29"/>
      <c r="I12" s="29"/>
      <c r="J12" s="35"/>
      <c r="K12" s="24">
        <f>IF(H12&lt;35,1,IF(E12="B",INT((H12/35)*100)/100,"-"))</f>
        <v>1</v>
      </c>
      <c r="L12" s="14" t="str">
        <f>IF(D12="校外",20,IF(D12="井下",25,IF(D12="野外",25,IF(D12="校内",10,IF(D12="分散",5,IF(D12="社会",5,"-"))))))</f>
        <v>-</v>
      </c>
      <c r="M12" s="14" t="s">
        <v>32</v>
      </c>
      <c r="N12" s="14" t="str">
        <f>IF(E12="B","("&amp;I12&amp;"×"&amp;K12&amp;"×"&amp;L12&amp;")/"&amp;J12,"-")</f>
        <v>-</v>
      </c>
      <c r="O12" s="23" t="str">
        <f>IF(E12="B",I12*K12*L12/J12,"-")</f>
        <v>-</v>
      </c>
      <c r="P12" s="14"/>
    </row>
    <row r="13" spans="1:16" s="5" customFormat="1" ht="21.75" customHeight="1">
      <c r="A13" s="56"/>
      <c r="B13" s="48" t="s">
        <v>42</v>
      </c>
      <c r="C13" s="29" t="s">
        <v>43</v>
      </c>
      <c r="D13" s="30" t="s">
        <v>44</v>
      </c>
      <c r="E13" s="30" t="s">
        <v>27</v>
      </c>
      <c r="F13" s="14" t="s">
        <v>32</v>
      </c>
      <c r="G13" s="32" t="s">
        <v>45</v>
      </c>
      <c r="H13" s="29">
        <v>12</v>
      </c>
      <c r="I13" s="29">
        <v>10</v>
      </c>
      <c r="J13" s="14" t="s">
        <v>32</v>
      </c>
      <c r="K13" s="24">
        <f>IF(E13="B",INT((H13/35)*100)/100,"-")</f>
        <v>0.34</v>
      </c>
      <c r="L13" s="14">
        <f>IF(D13="论文",0.8,IF(D13="设计",1.2,"-"))</f>
        <v>1.2</v>
      </c>
      <c r="M13" s="14" t="s">
        <v>32</v>
      </c>
      <c r="N13" s="14" t="str">
        <f>IF(E13="B","("&amp;I13&amp;"×"&amp;H13&amp;"×"&amp;L13&amp;")","-")</f>
        <v>(10×12×1.2)</v>
      </c>
      <c r="O13" s="23">
        <f>IF(E13="B",I13*H13*L13,"-")</f>
        <v>144</v>
      </c>
      <c r="P13" s="14"/>
    </row>
    <row r="14" spans="1:16" s="5" customFormat="1" ht="21.75" customHeight="1">
      <c r="A14" s="56"/>
      <c r="B14" s="48"/>
      <c r="C14" s="29"/>
      <c r="D14" s="30"/>
      <c r="E14" s="30"/>
      <c r="F14" s="14" t="s">
        <v>32</v>
      </c>
      <c r="G14" s="32"/>
      <c r="H14" s="29"/>
      <c r="I14" s="29"/>
      <c r="J14" s="14" t="s">
        <v>32</v>
      </c>
      <c r="K14" s="24" t="str">
        <f>IF(E14="B",INT((H14/35)*100)/100,"-")</f>
        <v>-</v>
      </c>
      <c r="L14" s="14" t="str">
        <f>IF(D14="论文",0.8,IF(D14="设计",1.2,"-"))</f>
        <v>-</v>
      </c>
      <c r="M14" s="14" t="s">
        <v>32</v>
      </c>
      <c r="N14" s="14" t="str">
        <f>IF(E14="B","("&amp;I14&amp;"×"&amp;H14&amp;"×"&amp;L14&amp;")","-")</f>
        <v>-</v>
      </c>
      <c r="O14" s="23" t="str">
        <f>IF(E14="B",I14*H14*L14,"-")</f>
        <v>-</v>
      </c>
      <c r="P14" s="14"/>
    </row>
    <row r="15" spans="1:16" s="5" customFormat="1" ht="21.75" customHeight="1">
      <c r="A15" s="57" t="s">
        <v>46</v>
      </c>
      <c r="B15" s="48" t="s">
        <v>25</v>
      </c>
      <c r="C15" s="29" t="s">
        <v>47</v>
      </c>
      <c r="D15" s="30" t="s">
        <v>48</v>
      </c>
      <c r="E15" s="30" t="s">
        <v>49</v>
      </c>
      <c r="F15" s="30" t="s">
        <v>28</v>
      </c>
      <c r="G15" s="32" t="s">
        <v>50</v>
      </c>
      <c r="H15" s="29">
        <v>55</v>
      </c>
      <c r="I15" s="29">
        <v>40</v>
      </c>
      <c r="J15" s="35">
        <v>0.1</v>
      </c>
      <c r="K15" s="24">
        <f aca="true" t="shared" si="1" ref="K15:K20">IF(E15="Z",INT((H15/50)*100)/100,"-")</f>
        <v>1.1</v>
      </c>
      <c r="L15" s="14">
        <f>IF(K15&lt;=1,1,IF(K15&lt;=1.2,1.1,IF(K15&lt;=1.4,1.2,IF(K15&lt;=1.6,1.3,IF(K15&lt;=1.8,1.4,IF(K15&lt;=2,1.5,IF(K15&lt;2.2,1.6,"-")))))))</f>
        <v>1.1</v>
      </c>
      <c r="M15" s="14">
        <f>IF(F15="主讲",1,IF(F15="助课",0.3,"-"))</f>
        <v>1</v>
      </c>
      <c r="N15" s="14" t="str">
        <f>IF(AND(D15="考试",K15&gt;=1),"["&amp;I15&amp;"×("&amp;L15&amp;"＋"&amp;J15&amp;")+4×"&amp;K15&amp;"]×"&amp;M15,IF(AND(D15="考试",K15&lt;1),"["&amp;I15&amp;"×("&amp;L15&amp;"＋"&amp;J15&amp;")+4×1]×"&amp;M15,IF(D15="考查","["&amp;I15&amp;"×("&amp;L15&amp;"＋"&amp;J15&amp;")]×"&amp;M15,"-")))</f>
        <v>[40×(1.1＋0.1)+4×1.1]×1</v>
      </c>
      <c r="O15" s="23">
        <f>IF(AND(D15="考试",K15&gt;=1),(I15*(L15+J15)+4*K15)*M15,IF(AND(D15="考试",K15&lt;1),(I15*(L15+J15)+4*1)*M15,IF(D15="考查",I15*(L15+J15)*M15,"-")))</f>
        <v>52.400000000000006</v>
      </c>
      <c r="P15" s="14"/>
    </row>
    <row r="16" spans="1:16" s="5" customFormat="1" ht="21.75" customHeight="1">
      <c r="A16" s="57"/>
      <c r="B16" s="48"/>
      <c r="C16" s="29"/>
      <c r="D16" s="30" t="s">
        <v>48</v>
      </c>
      <c r="E16" s="30" t="s">
        <v>49</v>
      </c>
      <c r="F16" s="30" t="s">
        <v>28</v>
      </c>
      <c r="G16" s="32"/>
      <c r="H16" s="29">
        <v>5</v>
      </c>
      <c r="I16" s="29">
        <v>40</v>
      </c>
      <c r="J16" s="35">
        <v>0</v>
      </c>
      <c r="K16" s="24">
        <f t="shared" si="1"/>
        <v>0.1</v>
      </c>
      <c r="L16" s="14">
        <f>IF(K16&lt;=1,1,IF(K16&lt;=1.2,1.1,IF(K16&lt;=1.4,1.2,IF(K16&lt;=1.6,1.3,IF(K16&lt;=1.8,1.4,IF(K16&lt;=2,1.5,IF(K16&lt;2.2,1.6,"-")))))))</f>
        <v>1</v>
      </c>
      <c r="M16" s="14">
        <f>IF(F16="主讲",1,IF(F16="助课",0.3,"-"))</f>
        <v>1</v>
      </c>
      <c r="N16" s="14" t="str">
        <f>IF(AND(D16="考试",K16&gt;=1),"["&amp;I16&amp;"×("&amp;L16&amp;"＋"&amp;J16&amp;")+4×"&amp;K16&amp;"]×"&amp;M16,IF(AND(D16="考试",K16&lt;1),"["&amp;I16&amp;"×("&amp;L16&amp;"＋"&amp;J16&amp;")+4×1]×"&amp;M16,IF(D16="考查","["&amp;I16&amp;"×("&amp;L16&amp;"＋"&amp;J16&amp;")]×"&amp;M16,"-")))</f>
        <v>[40×(1＋0)+4×1]×1</v>
      </c>
      <c r="O16" s="23">
        <f>IF(AND(D16="考试",K16&gt;=1),(I16*(L16+J16)+4*K16)*M16,IF(AND(D16="考试",K16&lt;1),(I16*(L16+J16)+4*1)*M16,IF(D16="考查",I16*(L16+J16)*M16,"-")))</f>
        <v>44</v>
      </c>
      <c r="P16" s="14"/>
    </row>
    <row r="17" spans="1:16" s="5" customFormat="1" ht="21.75" customHeight="1">
      <c r="A17" s="57"/>
      <c r="B17" s="48" t="s">
        <v>30</v>
      </c>
      <c r="C17" s="29" t="s">
        <v>51</v>
      </c>
      <c r="D17" s="14" t="s">
        <v>32</v>
      </c>
      <c r="E17" s="30" t="s">
        <v>49</v>
      </c>
      <c r="F17" s="30" t="s">
        <v>28</v>
      </c>
      <c r="G17" s="32" t="s">
        <v>52</v>
      </c>
      <c r="H17" s="29">
        <v>50</v>
      </c>
      <c r="I17" s="29">
        <v>2</v>
      </c>
      <c r="J17" s="35">
        <v>4</v>
      </c>
      <c r="K17" s="24">
        <f>IF(E17="Z",INT((H17/50)*100)/100/J17,"-")</f>
        <v>0.25</v>
      </c>
      <c r="L17" s="14">
        <f>IF(K17&lt;0.25,0.5,IF(K17&lt;0.33,0.6,IF(K17&lt;0.5,0.7,IF(K17&lt;1,0.8,IF(K17&lt;2,1,IF(K17&lt;3,1.2,IF(K17&lt;4,1.4,IF(K17&lt;5,1.6,"-"))))))))</f>
        <v>0.6</v>
      </c>
      <c r="M17" s="14">
        <f>IF(F17="主讲",1,IF(F17="助课",0.3,"-"))</f>
        <v>1</v>
      </c>
      <c r="N17" s="14" t="str">
        <f>IF(E17="Z","（"&amp;I17&amp;"×"&amp;L17&amp;"×"&amp;J17&amp;")×"&amp;M17,"-")</f>
        <v>（2×0.6×4)×1</v>
      </c>
      <c r="O17" s="23">
        <f>IF(E17="Z",I17*J17*L17*M17,"-")</f>
        <v>4.8</v>
      </c>
      <c r="P17" s="14"/>
    </row>
    <row r="18" spans="1:16" s="5" customFormat="1" ht="21.75" customHeight="1">
      <c r="A18" s="57"/>
      <c r="B18" s="48"/>
      <c r="C18" s="29"/>
      <c r="D18" s="14" t="s">
        <v>32</v>
      </c>
      <c r="E18" s="30"/>
      <c r="F18" s="30"/>
      <c r="G18" s="32"/>
      <c r="H18" s="29"/>
      <c r="I18" s="29"/>
      <c r="J18" s="35"/>
      <c r="K18" s="24" t="str">
        <f>IF(E18="Z",INT((H18/50)*100)/100/J18,"-")</f>
        <v>-</v>
      </c>
      <c r="L18" s="14" t="str">
        <f>IF(K18&lt;0.25,0.5,IF(K18&lt;0.33,0.6,IF(K18&lt;0.5,0.7,IF(K18&lt;1,0.8,IF(K18&lt;2,1,IF(K18&lt;3,1.2,IF(K18&lt;4,1.4,IF(K18&lt;5,1.6,"-"))))))))</f>
        <v>-</v>
      </c>
      <c r="M18" s="14" t="str">
        <f>IF(F18="主讲",1,IF(F18="助课",0.3,"-"))</f>
        <v>-</v>
      </c>
      <c r="N18" s="14" t="str">
        <f>IF(E18="Z","（"&amp;I18&amp;"×"&amp;L18&amp;"×"&amp;J18&amp;")×"&amp;M18,"-")</f>
        <v>-</v>
      </c>
      <c r="O18" s="23" t="str">
        <f>IF(E18="Z",I18*J18*L18*M18,"-")</f>
        <v>-</v>
      </c>
      <c r="P18" s="14"/>
    </row>
    <row r="19" spans="1:16" s="5" customFormat="1" ht="21.75" customHeight="1">
      <c r="A19" s="57"/>
      <c r="B19" s="49" t="s">
        <v>34</v>
      </c>
      <c r="C19" s="29" t="s">
        <v>53</v>
      </c>
      <c r="D19" s="14" t="s">
        <v>32</v>
      </c>
      <c r="E19" s="30" t="s">
        <v>49</v>
      </c>
      <c r="F19" s="14" t="s">
        <v>32</v>
      </c>
      <c r="G19" s="32" t="s">
        <v>54</v>
      </c>
      <c r="H19" s="29">
        <v>20</v>
      </c>
      <c r="I19" s="29">
        <v>2</v>
      </c>
      <c r="J19" s="14" t="s">
        <v>32</v>
      </c>
      <c r="K19" s="24">
        <f t="shared" si="1"/>
        <v>0.4</v>
      </c>
      <c r="L19" s="14">
        <f>IF(K19&lt;0.3,8,IF(K19&lt;0.42,10,IF(K19&lt;0.51,12,IF(K19&lt;=1,14,IF(K19&lt;=1.5,16,IF(K19&lt;=2,18,IF(K19&lt;=2.5,20,"-")))))))</f>
        <v>10</v>
      </c>
      <c r="M19" s="14" t="s">
        <v>32</v>
      </c>
      <c r="N19" s="14" t="str">
        <f>IF(E19="Z","（"&amp;I19&amp;"×"&amp;L19&amp;")","-")</f>
        <v>（2×10)</v>
      </c>
      <c r="O19" s="23">
        <f>IF(E19="Z",I19*L19,"-")</f>
        <v>20</v>
      </c>
      <c r="P19" s="14"/>
    </row>
    <row r="20" spans="1:16" s="5" customFormat="1" ht="21.75" customHeight="1">
      <c r="A20" s="57"/>
      <c r="B20" s="50"/>
      <c r="C20" s="29"/>
      <c r="D20" s="14" t="s">
        <v>32</v>
      </c>
      <c r="E20" s="30"/>
      <c r="F20" s="14" t="s">
        <v>32</v>
      </c>
      <c r="G20" s="32"/>
      <c r="H20" s="29"/>
      <c r="I20" s="29"/>
      <c r="J20" s="14" t="s">
        <v>32</v>
      </c>
      <c r="K20" s="24" t="str">
        <f t="shared" si="1"/>
        <v>-</v>
      </c>
      <c r="L20" s="14" t="str">
        <f>IF(K20&lt;0.3,8,IF(K20&lt;0.42,10,IF(K20&lt;0.51,12,IF(K20&lt;=1,14,IF(K20&lt;=1.5,16,IF(K20&lt;=2,18,IF(K20&lt;=2.5,20,"-")))))))</f>
        <v>-</v>
      </c>
      <c r="M20" s="14" t="s">
        <v>32</v>
      </c>
      <c r="N20" s="14" t="str">
        <f>IF(E20="Z","（"&amp;I20&amp;"×"&amp;L20&amp;")","-")</f>
        <v>-</v>
      </c>
      <c r="O20" s="23" t="str">
        <f>IF(E20="Z",I20*L20,"-")</f>
        <v>-</v>
      </c>
      <c r="P20" s="14"/>
    </row>
    <row r="21" spans="1:16" s="5" customFormat="1" ht="21.75" customHeight="1">
      <c r="A21" s="57"/>
      <c r="B21" s="48" t="s">
        <v>38</v>
      </c>
      <c r="C21" s="29" t="s">
        <v>55</v>
      </c>
      <c r="D21" s="30" t="s">
        <v>56</v>
      </c>
      <c r="E21" s="30" t="s">
        <v>49</v>
      </c>
      <c r="F21" s="14" t="s">
        <v>32</v>
      </c>
      <c r="G21" s="32" t="s">
        <v>57</v>
      </c>
      <c r="H21" s="29">
        <v>60</v>
      </c>
      <c r="I21" s="29">
        <v>2</v>
      </c>
      <c r="J21" s="35">
        <v>3</v>
      </c>
      <c r="K21" s="24">
        <f>IF(H21&lt;50,1,IF(E21="Z",INT((H21/50)*100)/100,"-"))</f>
        <v>1.2</v>
      </c>
      <c r="L21" s="14">
        <f>IF(D21="校外",20,IF(D21="井下",25,IF(D21="野外",25,IF(D21="校内",10,IF(D21="分散",5,IF(D21="社会",5,"-"))))))</f>
        <v>10</v>
      </c>
      <c r="M21" s="14" t="s">
        <v>32</v>
      </c>
      <c r="N21" s="14" t="str">
        <f>IF(E21="Z","("&amp;I21&amp;"×"&amp;K21&amp;"×"&amp;L21&amp;")/"&amp;J21,"-")</f>
        <v>(2×1.2×10)/3</v>
      </c>
      <c r="O21" s="23">
        <f>IF(E21="Z",I21*K21*L21/J21,"-")</f>
        <v>8</v>
      </c>
      <c r="P21" s="14"/>
    </row>
    <row r="22" spans="1:16" s="5" customFormat="1" ht="21.75" customHeight="1">
      <c r="A22" s="57"/>
      <c r="B22" s="48"/>
      <c r="C22" s="29"/>
      <c r="D22" s="30"/>
      <c r="E22" s="30"/>
      <c r="F22" s="14" t="s">
        <v>32</v>
      </c>
      <c r="G22" s="32"/>
      <c r="H22" s="29"/>
      <c r="I22" s="29"/>
      <c r="J22" s="35"/>
      <c r="K22" s="24">
        <f>IF(H22&lt;50,1,IF(E22="Z",INT((H22/50)*100)/100,"-"))</f>
        <v>1</v>
      </c>
      <c r="L22" s="14" t="str">
        <f>IF(D22="校外",20,IF(D22="井下",25,IF(D22="野外",25,IF(D22="校内",10,IF(D22="分散",5,IF(D22="社会",5,"-"))))))</f>
        <v>-</v>
      </c>
      <c r="M22" s="14" t="s">
        <v>32</v>
      </c>
      <c r="N22" s="14" t="str">
        <f>IF(E22="Z","("&amp;I22&amp;"×"&amp;K22&amp;"×"&amp;L22&amp;")/"&amp;J22,"-")</f>
        <v>-</v>
      </c>
      <c r="O22" s="23" t="str">
        <f>IF(E22="Z",I22*K22*L22/J22,"-")</f>
        <v>-</v>
      </c>
      <c r="P22" s="14"/>
    </row>
    <row r="23" spans="1:16" s="5" customFormat="1" ht="21.75" customHeight="1">
      <c r="A23" s="57"/>
      <c r="B23" s="48" t="s">
        <v>42</v>
      </c>
      <c r="C23" s="29" t="s">
        <v>58</v>
      </c>
      <c r="D23" s="30" t="s">
        <v>59</v>
      </c>
      <c r="E23" s="30" t="s">
        <v>49</v>
      </c>
      <c r="F23" s="14" t="s">
        <v>32</v>
      </c>
      <c r="G23" s="32" t="s">
        <v>60</v>
      </c>
      <c r="H23" s="29">
        <v>10</v>
      </c>
      <c r="I23" s="29">
        <v>10</v>
      </c>
      <c r="J23" s="14" t="s">
        <v>32</v>
      </c>
      <c r="K23" s="24">
        <f>IF(E23="Z",INT((H23/50)*100)/100,"-")</f>
        <v>0.2</v>
      </c>
      <c r="L23" s="14">
        <f>IF(D23="论文",0.6,IF(D23="设计",0.9,"-"))</f>
        <v>0.6</v>
      </c>
      <c r="M23" s="14" t="s">
        <v>32</v>
      </c>
      <c r="N23" s="14" t="str">
        <f>IF(E23="Z","("&amp;I23&amp;"×"&amp;H23&amp;"×"&amp;L23&amp;")","-")</f>
        <v>(10×10×0.6)</v>
      </c>
      <c r="O23" s="23">
        <f>IF(E23="Z",I23*H23*L23,"-")</f>
        <v>60</v>
      </c>
      <c r="P23" s="14"/>
    </row>
    <row r="24" spans="1:16" s="5" customFormat="1" ht="21.75" customHeight="1">
      <c r="A24" s="57"/>
      <c r="B24" s="48"/>
      <c r="C24" s="29"/>
      <c r="D24" s="30"/>
      <c r="E24" s="30"/>
      <c r="F24" s="14" t="s">
        <v>32</v>
      </c>
      <c r="G24" s="32"/>
      <c r="H24" s="29"/>
      <c r="I24" s="29"/>
      <c r="J24" s="14" t="s">
        <v>32</v>
      </c>
      <c r="K24" s="24" t="str">
        <f>IF(E24="Z",INT((H24/50)*100)/100,"-")</f>
        <v>-</v>
      </c>
      <c r="L24" s="14" t="str">
        <f>IF(D24="论文",0.6,IF(D24="设计",0.9,"-"))</f>
        <v>-</v>
      </c>
      <c r="M24" s="14" t="s">
        <v>32</v>
      </c>
      <c r="N24" s="14" t="str">
        <f>IF(E24="Z","("&amp;I24&amp;"×"&amp;H24&amp;"×"&amp;L24&amp;")","-")</f>
        <v>-</v>
      </c>
      <c r="O24" s="23" t="str">
        <f>IF(E24="Z",I24*H24*L24,"-")</f>
        <v>-</v>
      </c>
      <c r="P24" s="14"/>
    </row>
    <row r="25" spans="1:16" s="5" customFormat="1" ht="21.75" customHeight="1">
      <c r="A25" s="48" t="s">
        <v>61</v>
      </c>
      <c r="B25" s="48"/>
      <c r="C25" s="29"/>
      <c r="D25" s="14"/>
      <c r="E25" s="30"/>
      <c r="F25" s="14"/>
      <c r="G25" s="32"/>
      <c r="H25" s="29"/>
      <c r="I25" s="29"/>
      <c r="J25" s="14"/>
      <c r="K25" s="24"/>
      <c r="L25" s="14"/>
      <c r="M25" s="14"/>
      <c r="N25" s="14"/>
      <c r="O25" s="23"/>
      <c r="P25" s="14"/>
    </row>
    <row r="26" spans="1:16" s="5" customFormat="1" ht="21.75" customHeight="1">
      <c r="A26" s="48"/>
      <c r="B26" s="48"/>
      <c r="C26" s="29"/>
      <c r="D26" s="14"/>
      <c r="E26" s="30"/>
      <c r="F26" s="14"/>
      <c r="G26" s="32"/>
      <c r="H26" s="29"/>
      <c r="I26" s="29"/>
      <c r="J26" s="14"/>
      <c r="K26" s="24"/>
      <c r="L26" s="14"/>
      <c r="M26" s="14"/>
      <c r="N26" s="14"/>
      <c r="O26" s="23"/>
      <c r="P26" s="14"/>
    </row>
    <row r="27" spans="1:16" s="5" customFormat="1" ht="21.75" customHeight="1">
      <c r="A27" s="48"/>
      <c r="B27" s="48"/>
      <c r="C27" s="29"/>
      <c r="D27" s="14"/>
      <c r="E27" s="30"/>
      <c r="F27" s="14"/>
      <c r="G27" s="32"/>
      <c r="H27" s="29"/>
      <c r="I27" s="29"/>
      <c r="J27" s="14"/>
      <c r="K27" s="24"/>
      <c r="L27" s="14"/>
      <c r="M27" s="14"/>
      <c r="N27" s="14"/>
      <c r="O27" s="23"/>
      <c r="P27" s="14"/>
    </row>
    <row r="28" spans="1:16" s="5" customFormat="1" ht="21.75" customHeight="1">
      <c r="A28" s="43"/>
      <c r="B28" s="43"/>
      <c r="C28" s="14"/>
      <c r="D28" s="14"/>
      <c r="E28" s="30"/>
      <c r="F28" s="14"/>
      <c r="G28" s="33"/>
      <c r="H28" s="14"/>
      <c r="I28" s="14"/>
      <c r="J28" s="14"/>
      <c r="K28" s="24"/>
      <c r="L28" s="14"/>
      <c r="M28" s="14"/>
      <c r="N28" s="14" t="s">
        <v>62</v>
      </c>
      <c r="O28" s="23">
        <f>SUM(O5:O27)</f>
        <v>536.0799999999999</v>
      </c>
      <c r="P28" s="14"/>
    </row>
    <row r="29" spans="1:16" s="5" customFormat="1" ht="45" customHeight="1">
      <c r="A29" s="43" t="s">
        <v>63</v>
      </c>
      <c r="B29" s="43"/>
      <c r="C29" s="14" t="s">
        <v>64</v>
      </c>
      <c r="D29" s="44" t="s">
        <v>65</v>
      </c>
      <c r="E29" s="44"/>
      <c r="F29" s="44"/>
      <c r="G29" s="45"/>
      <c r="H29" s="44"/>
      <c r="I29" s="44"/>
      <c r="J29" s="44"/>
      <c r="K29" s="46"/>
      <c r="L29" s="44"/>
      <c r="M29" s="44"/>
      <c r="N29" s="47" t="s">
        <v>66</v>
      </c>
      <c r="O29" s="47"/>
      <c r="P29" s="47"/>
    </row>
    <row r="30" spans="1:16" s="5" customFormat="1" ht="57" customHeight="1">
      <c r="A30" s="43"/>
      <c r="B30" s="43"/>
      <c r="C30" s="14" t="s">
        <v>67</v>
      </c>
      <c r="D30" s="44" t="s">
        <v>68</v>
      </c>
      <c r="E30" s="44"/>
      <c r="F30" s="44"/>
      <c r="G30" s="45"/>
      <c r="H30" s="44"/>
      <c r="I30" s="44"/>
      <c r="J30" s="44"/>
      <c r="K30" s="46"/>
      <c r="L30" s="44"/>
      <c r="M30" s="44"/>
      <c r="N30" s="47" t="s">
        <v>69</v>
      </c>
      <c r="O30" s="47"/>
      <c r="P30" s="47"/>
    </row>
    <row r="31" spans="1:16" s="6" customFormat="1" ht="45" customHeight="1">
      <c r="A31" s="43"/>
      <c r="B31" s="43"/>
      <c r="C31" s="14" t="s">
        <v>70</v>
      </c>
      <c r="D31" s="43"/>
      <c r="E31" s="43"/>
      <c r="F31" s="43"/>
      <c r="G31" s="51"/>
      <c r="H31" s="43"/>
      <c r="I31" s="43"/>
      <c r="J31" s="43"/>
      <c r="K31" s="52"/>
      <c r="L31" s="43"/>
      <c r="M31" s="43"/>
      <c r="N31" s="47" t="s">
        <v>71</v>
      </c>
      <c r="O31" s="47"/>
      <c r="P31" s="47"/>
    </row>
    <row r="32" spans="1:16" ht="75" customHeight="1">
      <c r="A32" s="43" t="s">
        <v>72</v>
      </c>
      <c r="B32" s="43"/>
      <c r="C32" s="53" t="s">
        <v>73</v>
      </c>
      <c r="D32" s="53"/>
      <c r="E32" s="53"/>
      <c r="F32" s="53"/>
      <c r="G32" s="54"/>
      <c r="H32" s="53"/>
      <c r="I32" s="53"/>
      <c r="J32" s="53"/>
      <c r="K32" s="55"/>
      <c r="L32" s="53"/>
      <c r="M32" s="53"/>
      <c r="N32" s="53"/>
      <c r="O32" s="53"/>
      <c r="P32" s="53"/>
    </row>
  </sheetData>
  <sheetProtection insertRows="0" deleteRows="0" selectLockedCells="1" selectUnlockedCells="1"/>
  <mergeCells count="31">
    <mergeCell ref="A5:A14"/>
    <mergeCell ref="A15:A24"/>
    <mergeCell ref="B5:B6"/>
    <mergeCell ref="B7:B8"/>
    <mergeCell ref="B9:B10"/>
    <mergeCell ref="B11:B12"/>
    <mergeCell ref="B13:B14"/>
    <mergeCell ref="B15:B16"/>
    <mergeCell ref="D30:M30"/>
    <mergeCell ref="N30:P30"/>
    <mergeCell ref="D31:M31"/>
    <mergeCell ref="N31:P31"/>
    <mergeCell ref="A32:B32"/>
    <mergeCell ref="C32:P32"/>
    <mergeCell ref="A4:B4"/>
    <mergeCell ref="A28:B28"/>
    <mergeCell ref="D29:M29"/>
    <mergeCell ref="N29:P29"/>
    <mergeCell ref="B17:B18"/>
    <mergeCell ref="B19:B20"/>
    <mergeCell ref="B21:B22"/>
    <mergeCell ref="B23:B24"/>
    <mergeCell ref="A25:B27"/>
    <mergeCell ref="A29:B31"/>
    <mergeCell ref="A1:P1"/>
    <mergeCell ref="A3:B3"/>
    <mergeCell ref="D3:E3"/>
    <mergeCell ref="F3:G3"/>
    <mergeCell ref="H3:I3"/>
    <mergeCell ref="L3:M3"/>
    <mergeCell ref="N3:P3"/>
  </mergeCells>
  <dataValidations count="6">
    <dataValidation type="list" allowBlank="1" showInputMessage="1" showErrorMessage="1" sqref="D5:D6 D15:D16">
      <formula1>"考试,考查"</formula1>
    </dataValidation>
    <dataValidation type="list" allowBlank="1" showInputMessage="1" showErrorMessage="1" sqref="E5:E24">
      <formula1>"B,Z"</formula1>
    </dataValidation>
    <dataValidation type="list" allowBlank="1" showInputMessage="1" showErrorMessage="1" sqref="F5:F8 F15:F18">
      <formula1>"主讲,助课"</formula1>
    </dataValidation>
    <dataValidation type="list" allowBlank="1" showInputMessage="1" showErrorMessage="1" sqref="D11:D12 D21:D22">
      <formula1>"校外,校内,野外,井下,分散,社会"</formula1>
    </dataValidation>
    <dataValidation type="list" allowBlank="1" showInputMessage="1" showErrorMessage="1" sqref="D13:D14 D23:D24">
      <formula1>"论文,设计"</formula1>
    </dataValidation>
    <dataValidation type="custom" allowBlank="1" showInputMessage="1" showErrorMessage="1" sqref="D7:D10 D17:D20 F9:F14 F19:F24 J9:J10 J13:J14 J19:J20 J23:J24 M9:M14 M19:M24">
      <formula1>"/"</formula1>
    </dataValidation>
  </dataValidations>
  <printOptions/>
  <pageMargins left="0.5" right="0.5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tabSelected="1" zoomScalePageLayoutView="0" workbookViewId="0" topLeftCell="A1">
      <pane xSplit="16" topLeftCell="Q1" activePane="topRight" state="frozen"/>
      <selection pane="topLeft" activeCell="A1" sqref="A1"/>
      <selection pane="topRight" activeCell="N16" sqref="N16"/>
    </sheetView>
  </sheetViews>
  <sheetFormatPr defaultColWidth="9.00390625" defaultRowHeight="13.5"/>
  <cols>
    <col min="1" max="1" width="3.625" style="7" customWidth="1"/>
    <col min="2" max="2" width="5.125" style="7" customWidth="1"/>
    <col min="3" max="3" width="21.625" style="7" customWidth="1"/>
    <col min="4" max="5" width="5.125" style="7" customWidth="1"/>
    <col min="6" max="6" width="6.375" style="7" customWidth="1"/>
    <col min="7" max="7" width="11.625" style="7" customWidth="1"/>
    <col min="8" max="8" width="5.125" style="7" customWidth="1"/>
    <col min="9" max="9" width="6.25390625" style="7" customWidth="1"/>
    <col min="10" max="10" width="8.75390625" style="7" customWidth="1"/>
    <col min="11" max="11" width="5.125" style="8" customWidth="1"/>
    <col min="12" max="13" width="5.125" style="7" customWidth="1"/>
    <col min="14" max="14" width="30.625" style="7" customWidth="1"/>
    <col min="15" max="15" width="7.125" style="7" customWidth="1"/>
    <col min="16" max="16" width="6.625" style="7" customWidth="1"/>
    <col min="17" max="16384" width="9.00390625" style="7" customWidth="1"/>
  </cols>
  <sheetData>
    <row r="1" spans="1:16" s="1" customFormat="1" ht="27" customHeight="1">
      <c r="A1" s="36" t="s">
        <v>75</v>
      </c>
      <c r="B1" s="36"/>
      <c r="C1" s="36"/>
      <c r="D1" s="36"/>
      <c r="E1" s="36"/>
      <c r="F1" s="36"/>
      <c r="G1" s="36"/>
      <c r="H1" s="36"/>
      <c r="I1" s="36"/>
      <c r="J1" s="36"/>
      <c r="K1" s="38"/>
      <c r="L1" s="36"/>
      <c r="M1" s="36"/>
      <c r="N1" s="36"/>
      <c r="O1" s="36"/>
      <c r="P1" s="36"/>
    </row>
    <row r="2" spans="1:16" s="2" customFormat="1" ht="12" customHeight="1">
      <c r="A2" s="9"/>
      <c r="B2" s="9"/>
      <c r="C2" s="10"/>
      <c r="D2" s="10"/>
      <c r="E2" s="10"/>
      <c r="F2" s="10"/>
      <c r="G2" s="11"/>
      <c r="H2" s="10"/>
      <c r="I2" s="10"/>
      <c r="J2" s="10"/>
      <c r="K2" s="15"/>
      <c r="L2" s="10"/>
      <c r="M2" s="10"/>
      <c r="N2" s="10"/>
      <c r="O2" s="16"/>
      <c r="P2" s="17"/>
    </row>
    <row r="3" spans="1:16" s="3" customFormat="1" ht="24.75" customHeight="1">
      <c r="A3" s="39" t="s">
        <v>0</v>
      </c>
      <c r="B3" s="39"/>
      <c r="C3" s="12"/>
      <c r="D3" s="39" t="s">
        <v>2</v>
      </c>
      <c r="E3" s="39"/>
      <c r="F3" s="58"/>
      <c r="G3" s="58"/>
      <c r="H3" s="39" t="s">
        <v>4</v>
      </c>
      <c r="I3" s="39"/>
      <c r="J3" s="18"/>
      <c r="K3" s="19" t="s">
        <v>6</v>
      </c>
      <c r="L3" s="58"/>
      <c r="M3" s="58"/>
      <c r="N3" s="39" t="s">
        <v>74</v>
      </c>
      <c r="O3" s="39"/>
      <c r="P3" s="39"/>
    </row>
    <row r="4" spans="1:256" s="4" customFormat="1" ht="36" customHeight="1">
      <c r="A4" s="42" t="s">
        <v>9</v>
      </c>
      <c r="B4" s="42"/>
      <c r="C4" s="13" t="s">
        <v>10</v>
      </c>
      <c r="D4" s="13" t="s">
        <v>11</v>
      </c>
      <c r="E4" s="13" t="s">
        <v>12</v>
      </c>
      <c r="F4" s="13" t="s">
        <v>13</v>
      </c>
      <c r="G4" s="13" t="s">
        <v>14</v>
      </c>
      <c r="H4" s="13" t="s">
        <v>15</v>
      </c>
      <c r="I4" s="13" t="s">
        <v>16</v>
      </c>
      <c r="J4" s="20" t="s">
        <v>17</v>
      </c>
      <c r="K4" s="21" t="s">
        <v>18</v>
      </c>
      <c r="L4" s="13" t="s">
        <v>19</v>
      </c>
      <c r="M4" s="13" t="s">
        <v>20</v>
      </c>
      <c r="N4" s="13" t="s">
        <v>21</v>
      </c>
      <c r="O4" s="13" t="s">
        <v>22</v>
      </c>
      <c r="P4" s="13" t="s">
        <v>23</v>
      </c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</row>
    <row r="5" spans="1:16" s="5" customFormat="1" ht="21.75" customHeight="1">
      <c r="A5" s="56" t="s">
        <v>24</v>
      </c>
      <c r="B5" s="48" t="s">
        <v>25</v>
      </c>
      <c r="C5" s="14"/>
      <c r="D5" s="14"/>
      <c r="E5" s="14"/>
      <c r="F5" s="14"/>
      <c r="G5" s="14"/>
      <c r="H5" s="14"/>
      <c r="I5" s="14"/>
      <c r="J5" s="14"/>
      <c r="K5" s="22" t="str">
        <f aca="true" t="shared" si="0" ref="K5:K10">IF(E5="B",INT((H5/35)*100)/100,"-")</f>
        <v>-</v>
      </c>
      <c r="L5" s="14" t="str">
        <f>IF(K5&lt;1.02,1,IF(K5&lt;1.37,1.1,IF(K5&lt;1.71,1.2,IF(K5&lt;2,1.4,IF(K5&lt;2.28,1.5,IF(K5&lt;2.57,1.6,IF(K5&lt;2.98,1.7,"-")))))))</f>
        <v>-</v>
      </c>
      <c r="M5" s="14" t="str">
        <f>IF(F5="主讲",1,IF(F5="助课",0.3,"-"))</f>
        <v>-</v>
      </c>
      <c r="N5" s="14" t="str">
        <f>IF(AND(D5="考试",K5&gt;=1),"["&amp;I5&amp;"×("&amp;L5&amp;"＋"&amp;J5&amp;")+4×"&amp;K5&amp;"]×"&amp;M5,IF(AND(D5="考试",K5&lt;1),"["&amp;I5&amp;"×("&amp;L5&amp;"＋"&amp;J5&amp;")+4×1]×"&amp;M5,IF(D5="考查","["&amp;I5&amp;"×("&amp;L5&amp;"＋"&amp;J5&amp;")]×"&amp;M5,"-")))</f>
        <v>-</v>
      </c>
      <c r="O5" s="23" t="str">
        <f>IF(AND(D5="考试",K5&gt;=1),(I5*(L5+J5)+4*K5)*M5,IF(AND(D5="考试",K5&lt;1),(I5*(L5+J5)+4*1)*M5,IF(D5="考查",I5*(L5+J5)*M5,"-")))</f>
        <v>-</v>
      </c>
      <c r="P5" s="14"/>
    </row>
    <row r="6" spans="1:16" s="5" customFormat="1" ht="21.75" customHeight="1">
      <c r="A6" s="56"/>
      <c r="B6" s="48"/>
      <c r="C6" s="14"/>
      <c r="D6" s="14"/>
      <c r="E6" s="14"/>
      <c r="F6" s="14"/>
      <c r="G6" s="14"/>
      <c r="H6" s="14"/>
      <c r="I6" s="14"/>
      <c r="J6" s="14"/>
      <c r="K6" s="22" t="str">
        <f t="shared" si="0"/>
        <v>-</v>
      </c>
      <c r="L6" s="14" t="str">
        <f>IF(K6&lt;1.02,1,IF(K6&lt;1.37,1.1,IF(K6&lt;1.71,1.2,IF(K6&lt;2,1.4,IF(K6&lt;2.28,1.5,IF(K6&lt;2.57,1.6,IF(K6&lt;2.98,1.7,"-")))))))</f>
        <v>-</v>
      </c>
      <c r="M6" s="14" t="str">
        <f>IF(F6="主讲",1,IF(F6="助课",0.3,"-"))</f>
        <v>-</v>
      </c>
      <c r="N6" s="14" t="str">
        <f>IF(AND(D6="考试",K6&gt;=1),"["&amp;I6&amp;"×("&amp;L6&amp;"＋"&amp;J6&amp;")+4×"&amp;K6&amp;"]×"&amp;M6,IF(AND(D6="考试",K6&lt;1),"["&amp;I6&amp;"×("&amp;L6&amp;"＋"&amp;J6&amp;")+4×1]×"&amp;M6,IF(D6="考查","["&amp;I6&amp;"×("&amp;L6&amp;"＋"&amp;J6&amp;")]×"&amp;M6,"-")))</f>
        <v>-</v>
      </c>
      <c r="O6" s="23" t="str">
        <f>IF(AND(D6="考试",K6&gt;=1),(I6*(L6+J6)+4*K6)*M6,IF(AND(D6="考试",K6&lt;1),(I6*(L6+J6)+4*1)*M6,IF(D6="考查",I6*(L6+J6)*M6,"-")))</f>
        <v>-</v>
      </c>
      <c r="P6" s="14"/>
    </row>
    <row r="7" spans="1:16" s="5" customFormat="1" ht="21.75" customHeight="1">
      <c r="A7" s="56"/>
      <c r="B7" s="48" t="s">
        <v>30</v>
      </c>
      <c r="C7" s="14"/>
      <c r="D7" s="14" t="s">
        <v>32</v>
      </c>
      <c r="E7" s="14"/>
      <c r="F7" s="14"/>
      <c r="G7" s="14"/>
      <c r="H7" s="14"/>
      <c r="I7" s="14"/>
      <c r="J7" s="14"/>
      <c r="K7" s="24" t="str">
        <f>IF(E7="B",INT((H7/35)*100)/100/J7,"-")</f>
        <v>-</v>
      </c>
      <c r="L7" s="14" t="str">
        <f>IF(K7&lt;0.25,0.5,IF(K7&lt;0.33,0.6,IF(K7&lt;0.5,0.7,IF(K7&lt;1,0.8,IF(K7&lt;2,1,IF(K7&lt;3,1.2,IF(K7&lt;4,1.4,IF(K7&lt;5,1.6,"-"))))))))</f>
        <v>-</v>
      </c>
      <c r="M7" s="14" t="str">
        <f>IF(F7="主讲",1,IF(F7="助课",0.3,"-"))</f>
        <v>-</v>
      </c>
      <c r="N7" s="14" t="str">
        <f>IF(E7="B","（"&amp;I7&amp;"×"&amp;L7&amp;"×"&amp;J7&amp;")×"&amp;M7,"-")</f>
        <v>-</v>
      </c>
      <c r="O7" s="23" t="str">
        <f>IF(E7="B",I7*J7*L7*M7,"-")</f>
        <v>-</v>
      </c>
      <c r="P7" s="14"/>
    </row>
    <row r="8" spans="1:16" s="5" customFormat="1" ht="21.75" customHeight="1">
      <c r="A8" s="56"/>
      <c r="B8" s="48"/>
      <c r="C8" s="14"/>
      <c r="D8" s="14" t="s">
        <v>32</v>
      </c>
      <c r="E8" s="14"/>
      <c r="F8" s="14"/>
      <c r="G8" s="14"/>
      <c r="H8" s="14"/>
      <c r="I8" s="14"/>
      <c r="J8" s="14"/>
      <c r="K8" s="24" t="str">
        <f>IF(E8="B",INT((H8/35)*100)/100/J8,"-")</f>
        <v>-</v>
      </c>
      <c r="L8" s="14" t="str">
        <f>IF(K8&lt;0.25,0.5,IF(K8&lt;0.33,0.6,IF(K8&lt;0.5,0.7,IF(K8&lt;1,0.8,IF(K8&lt;2,1,IF(K8&lt;3,1.2,IF(K8&lt;4,1.4,IF(K8&lt;5,1.6,"-"))))))))</f>
        <v>-</v>
      </c>
      <c r="M8" s="14" t="str">
        <f>IF(F8="主讲",1,IF(F8="助课",0.3,"-"))</f>
        <v>-</v>
      </c>
      <c r="N8" s="14" t="str">
        <f>IF(E8="B","（"&amp;I8&amp;"×"&amp;L8&amp;"×"&amp;J8&amp;")×"&amp;M8,"-")</f>
        <v>-</v>
      </c>
      <c r="O8" s="23" t="str">
        <f>IF(E8="B",I8*J8*L8*M8,"-")</f>
        <v>-</v>
      </c>
      <c r="P8" s="14"/>
    </row>
    <row r="9" spans="1:16" s="5" customFormat="1" ht="21.75" customHeight="1">
      <c r="A9" s="56"/>
      <c r="B9" s="49" t="s">
        <v>34</v>
      </c>
      <c r="C9" s="14"/>
      <c r="D9" s="14" t="s">
        <v>32</v>
      </c>
      <c r="E9" s="14"/>
      <c r="F9" s="14" t="s">
        <v>32</v>
      </c>
      <c r="G9" s="14"/>
      <c r="H9" s="14"/>
      <c r="I9" s="14"/>
      <c r="J9" s="14" t="s">
        <v>32</v>
      </c>
      <c r="K9" s="24" t="str">
        <f t="shared" si="0"/>
        <v>-</v>
      </c>
      <c r="L9" s="14" t="str">
        <f>IF(K9&lt;0.28,8,IF(K9&lt;0.43,10,IF(K9&lt;0.571,12,IF(K9&lt;1.143,14,IF(K9&lt;=1.714,16,IF(K9&lt;2.286,18,"-"))))))</f>
        <v>-</v>
      </c>
      <c r="M9" s="14" t="s">
        <v>32</v>
      </c>
      <c r="N9" s="14" t="str">
        <f>IF(E9="B","（"&amp;I9&amp;"×"&amp;L9&amp;")","-")</f>
        <v>-</v>
      </c>
      <c r="O9" s="23" t="str">
        <f>IF(E9="B",I9*L9,"-")</f>
        <v>-</v>
      </c>
      <c r="P9" s="14"/>
    </row>
    <row r="10" spans="1:16" s="5" customFormat="1" ht="21.75" customHeight="1">
      <c r="A10" s="56"/>
      <c r="B10" s="50"/>
      <c r="C10" s="14"/>
      <c r="D10" s="14" t="s">
        <v>32</v>
      </c>
      <c r="E10" s="14"/>
      <c r="F10" s="14" t="s">
        <v>32</v>
      </c>
      <c r="G10" s="14"/>
      <c r="H10" s="14"/>
      <c r="I10" s="14"/>
      <c r="J10" s="14" t="s">
        <v>32</v>
      </c>
      <c r="K10" s="24" t="str">
        <f t="shared" si="0"/>
        <v>-</v>
      </c>
      <c r="L10" s="14" t="str">
        <f>IF(K10&lt;0.28,8,IF(K10&lt;0.43,10,IF(K10&lt;0.571,12,IF(K10&lt;1.143,14,IF(K10&lt;=1.714,16,IF(K10&lt;2.286,18,"-"))))))</f>
        <v>-</v>
      </c>
      <c r="M10" s="14" t="s">
        <v>32</v>
      </c>
      <c r="N10" s="14" t="str">
        <f>IF(E10="B","（"&amp;I10&amp;"×"&amp;L10&amp;")","-")</f>
        <v>-</v>
      </c>
      <c r="O10" s="23" t="str">
        <f>IF(E10="B",I10*L10,"-")</f>
        <v>-</v>
      </c>
      <c r="P10" s="14"/>
    </row>
    <row r="11" spans="1:16" s="5" customFormat="1" ht="21.75" customHeight="1">
      <c r="A11" s="56"/>
      <c r="B11" s="48" t="s">
        <v>38</v>
      </c>
      <c r="C11" s="14"/>
      <c r="D11" s="14"/>
      <c r="E11" s="14"/>
      <c r="F11" s="14" t="s">
        <v>32</v>
      </c>
      <c r="G11" s="14"/>
      <c r="H11" s="14"/>
      <c r="I11" s="14"/>
      <c r="J11" s="14"/>
      <c r="K11" s="24">
        <f>IF(H11&lt;35,1,IF(E11="B",INT((H11/35)*100)/100,"-"))</f>
        <v>1</v>
      </c>
      <c r="L11" s="14" t="str">
        <f>IF(D11="校外",20,IF(D11="井下",25,IF(D11="野外",25,IF(D11="校内",10,IF(D11="分散",5,IF(D11="社会",5,"-"))))))</f>
        <v>-</v>
      </c>
      <c r="M11" s="14" t="s">
        <v>32</v>
      </c>
      <c r="N11" s="14" t="str">
        <f>IF(E11="B","("&amp;I11&amp;"×"&amp;K11&amp;"×"&amp;L11&amp;")/"&amp;J11,"-")</f>
        <v>-</v>
      </c>
      <c r="O11" s="23" t="str">
        <f>IF(E11="B",I11*K11*L11/J11,"-")</f>
        <v>-</v>
      </c>
      <c r="P11" s="14"/>
    </row>
    <row r="12" spans="1:16" s="5" customFormat="1" ht="21.75" customHeight="1">
      <c r="A12" s="56"/>
      <c r="B12" s="48"/>
      <c r="C12" s="14"/>
      <c r="D12" s="14"/>
      <c r="E12" s="14"/>
      <c r="F12" s="14" t="s">
        <v>32</v>
      </c>
      <c r="G12" s="14"/>
      <c r="H12" s="14"/>
      <c r="I12" s="14"/>
      <c r="J12" s="14"/>
      <c r="K12" s="24">
        <f>IF(H12&lt;35,1,IF(E12="B",INT((H12/35)*100)/100,"-"))</f>
        <v>1</v>
      </c>
      <c r="L12" s="14" t="str">
        <f>IF(D12="校外",20,IF(D12="井下",25,IF(D12="野外",25,IF(D12="校内",10,IF(D12="分散",5,IF(D12="社会",5,"-"))))))</f>
        <v>-</v>
      </c>
      <c r="M12" s="14" t="s">
        <v>32</v>
      </c>
      <c r="N12" s="14" t="str">
        <f>IF(E12="B","("&amp;I12&amp;"×"&amp;K12&amp;"×"&amp;L12&amp;")/"&amp;J12,"-")</f>
        <v>-</v>
      </c>
      <c r="O12" s="23" t="str">
        <f>IF(E12="B",I12*K12*L12/J12,"-")</f>
        <v>-</v>
      </c>
      <c r="P12" s="14"/>
    </row>
    <row r="13" spans="1:16" s="5" customFormat="1" ht="21.75" customHeight="1">
      <c r="A13" s="56"/>
      <c r="B13" s="48" t="s">
        <v>42</v>
      </c>
      <c r="C13" s="14"/>
      <c r="D13" s="14"/>
      <c r="E13" s="14"/>
      <c r="F13" s="14" t="s">
        <v>32</v>
      </c>
      <c r="G13" s="14"/>
      <c r="H13" s="14"/>
      <c r="I13" s="14"/>
      <c r="J13" s="14" t="s">
        <v>32</v>
      </c>
      <c r="K13" s="24" t="str">
        <f>IF(E13="B",INT((H13/35)*100)/100,"-")</f>
        <v>-</v>
      </c>
      <c r="L13" s="14" t="str">
        <f>IF(D13="论文",0.8,IF(D13="设计",1.2,"-"))</f>
        <v>-</v>
      </c>
      <c r="M13" s="14" t="s">
        <v>32</v>
      </c>
      <c r="N13" s="14" t="str">
        <f>IF(E13="B","("&amp;I13&amp;"×"&amp;H13&amp;"×"&amp;L13&amp;")","-")</f>
        <v>-</v>
      </c>
      <c r="O13" s="23" t="str">
        <f>IF(E13="B",I13*H13*L13,"-")</f>
        <v>-</v>
      </c>
      <c r="P13" s="14"/>
    </row>
    <row r="14" spans="1:16" s="5" customFormat="1" ht="21.75" customHeight="1">
      <c r="A14" s="56"/>
      <c r="B14" s="48"/>
      <c r="C14" s="14"/>
      <c r="D14" s="14"/>
      <c r="E14" s="14"/>
      <c r="F14" s="14" t="s">
        <v>32</v>
      </c>
      <c r="G14" s="14"/>
      <c r="H14" s="14"/>
      <c r="I14" s="14"/>
      <c r="J14" s="14" t="s">
        <v>32</v>
      </c>
      <c r="K14" s="24" t="str">
        <f>IF(E14="B",INT((H14/35)*100)/100,"-")</f>
        <v>-</v>
      </c>
      <c r="L14" s="14" t="str">
        <f>IF(D14="论文",0.8,IF(D14="设计",1.2,"-"))</f>
        <v>-</v>
      </c>
      <c r="M14" s="14" t="s">
        <v>32</v>
      </c>
      <c r="N14" s="14" t="str">
        <f>IF(E14="B","("&amp;I14&amp;"×"&amp;H14&amp;"×"&amp;L14&amp;")","-")</f>
        <v>-</v>
      </c>
      <c r="O14" s="23" t="str">
        <f>IF(E14="B",I14*H14*L14,"-")</f>
        <v>-</v>
      </c>
      <c r="P14" s="14"/>
    </row>
    <row r="15" spans="1:16" s="5" customFormat="1" ht="21.75" customHeight="1">
      <c r="A15" s="57" t="s">
        <v>46</v>
      </c>
      <c r="B15" s="48" t="s">
        <v>25</v>
      </c>
      <c r="C15" s="14"/>
      <c r="D15" s="14"/>
      <c r="E15" s="14"/>
      <c r="F15" s="14"/>
      <c r="G15" s="14"/>
      <c r="H15" s="14"/>
      <c r="I15" s="14"/>
      <c r="J15" s="14"/>
      <c r="K15" s="24" t="str">
        <f aca="true" t="shared" si="1" ref="K15:K20">IF(E15="Z",INT((H15/50)*100)/100,"-")</f>
        <v>-</v>
      </c>
      <c r="L15" s="14" t="str">
        <f>IF(K15&lt;=1,1,IF(K15&lt;=1.2,1.1,IF(K15&lt;=1.4,1.2,IF(K15&lt;=1.6,1.3,IF(K15&lt;=1.8,1.4,IF(K15&lt;=2,1.5,IF(K15&lt;2.2,1.6,"-")))))))</f>
        <v>-</v>
      </c>
      <c r="M15" s="14" t="str">
        <f>IF(F15="主讲",1,IF(F15="助课",0.3,"-"))</f>
        <v>-</v>
      </c>
      <c r="N15" s="14" t="str">
        <f>IF(AND(D15="考试",K15&gt;=1),"["&amp;I15&amp;"×("&amp;L15&amp;"＋"&amp;J15&amp;")+4×"&amp;K15&amp;"]×"&amp;M15,IF(AND(D15="考试",K15&lt;1),"["&amp;I15&amp;"×("&amp;L15&amp;"＋"&amp;J15&amp;")+4×1]×"&amp;M15,IF(D15="考查","["&amp;I15&amp;"×("&amp;L15&amp;"＋"&amp;J15&amp;")]×"&amp;M15,"-")))</f>
        <v>-</v>
      </c>
      <c r="O15" s="23" t="str">
        <f>IF(AND(D15="考试",K15&gt;=1),(I15*(L15+J15)+4*K15)*M15,IF(AND(D15="考试",K15&lt;1),(I15*(L15+J15)+4*1)*M15,IF(D15="考查",I15*(L15+J15)*M15,"-")))</f>
        <v>-</v>
      </c>
      <c r="P15" s="14"/>
    </row>
    <row r="16" spans="1:16" s="5" customFormat="1" ht="21.75" customHeight="1">
      <c r="A16" s="57"/>
      <c r="B16" s="48"/>
      <c r="C16" s="14"/>
      <c r="D16" s="14"/>
      <c r="E16" s="14"/>
      <c r="F16" s="14"/>
      <c r="G16" s="14"/>
      <c r="H16" s="14"/>
      <c r="I16" s="14"/>
      <c r="J16" s="14"/>
      <c r="K16" s="24" t="str">
        <f t="shared" si="1"/>
        <v>-</v>
      </c>
      <c r="L16" s="14" t="str">
        <f>IF(K16&lt;=1,1,IF(K16&lt;=1.2,1.1,IF(K16&lt;=1.4,1.2,IF(K16&lt;=1.6,1.3,IF(K16&lt;=1.8,1.4,IF(K16&lt;=2,1.5,IF(K16&lt;2.2,1.6,"-")))))))</f>
        <v>-</v>
      </c>
      <c r="M16" s="14" t="str">
        <f>IF(F16="主讲",1,IF(F16="助课",0.3,"-"))</f>
        <v>-</v>
      </c>
      <c r="N16" s="14" t="str">
        <f>IF(AND(D16="考试",K16&gt;=1),"["&amp;I16&amp;"×("&amp;L16&amp;"＋"&amp;J16&amp;")+4×"&amp;K16&amp;"]×"&amp;M16,IF(AND(D16="考试",K16&lt;1),"["&amp;I16&amp;"×("&amp;L16&amp;"＋"&amp;J16&amp;")+4×1]×"&amp;M16,IF(D16="考查","["&amp;I16&amp;"×("&amp;L16&amp;"＋"&amp;J16&amp;")]×"&amp;M16,"-")))</f>
        <v>-</v>
      </c>
      <c r="O16" s="23" t="str">
        <f>IF(AND(D16="考试",K16&gt;=1),(I16*(L16+J16)+4*K16)*M16,IF(AND(D16="考试",K16&lt;1),(I16*(L16+J16)+4*1)*M16,IF(D16="考查",I16*(L16+J16)*M16,"-")))</f>
        <v>-</v>
      </c>
      <c r="P16" s="14"/>
    </row>
    <row r="17" spans="1:16" s="5" customFormat="1" ht="21.75" customHeight="1">
      <c r="A17" s="57"/>
      <c r="B17" s="48" t="s">
        <v>30</v>
      </c>
      <c r="C17" s="14"/>
      <c r="D17" s="14" t="s">
        <v>32</v>
      </c>
      <c r="E17" s="14"/>
      <c r="F17" s="14"/>
      <c r="G17" s="14"/>
      <c r="H17" s="14"/>
      <c r="I17" s="14"/>
      <c r="J17" s="14"/>
      <c r="K17" s="24" t="str">
        <f>IF(E17="Z",INT((H17/50)*100)/100/J17,"-")</f>
        <v>-</v>
      </c>
      <c r="L17" s="14" t="str">
        <f>IF(K17&lt;0.25,0.5,IF(K17&lt;0.33,0.6,IF(K17&lt;0.5,0.7,IF(K17&lt;1,0.8,IF(K17&lt;2,1,IF(K17&lt;3,1.2,IF(K17&lt;4,1.4,IF(K17&lt;5,1.6,"-"))))))))</f>
        <v>-</v>
      </c>
      <c r="M17" s="14" t="str">
        <f>IF(F17="主讲",1,IF(F17="助课",0.3,"-"))</f>
        <v>-</v>
      </c>
      <c r="N17" s="14" t="str">
        <f>IF(E17="Z","（"&amp;I17&amp;"×"&amp;L17&amp;"×"&amp;J17&amp;")×"&amp;M17,"-")</f>
        <v>-</v>
      </c>
      <c r="O17" s="23" t="str">
        <f>IF(E17="Z",I17*J17*L17*M17,"-")</f>
        <v>-</v>
      </c>
      <c r="P17" s="14"/>
    </row>
    <row r="18" spans="1:16" s="5" customFormat="1" ht="21.75" customHeight="1">
      <c r="A18" s="57"/>
      <c r="B18" s="48"/>
      <c r="C18" s="14"/>
      <c r="D18" s="14" t="s">
        <v>32</v>
      </c>
      <c r="E18" s="14"/>
      <c r="F18" s="14"/>
      <c r="G18" s="14"/>
      <c r="H18" s="14"/>
      <c r="I18" s="14"/>
      <c r="J18" s="14"/>
      <c r="K18" s="24" t="str">
        <f>IF(E18="Z",INT((H18/50)*100)/100/J18,"-")</f>
        <v>-</v>
      </c>
      <c r="L18" s="14" t="str">
        <f>IF(K18&lt;0.25,0.5,IF(K18&lt;0.33,0.6,IF(K18&lt;0.5,0.7,IF(K18&lt;1,0.8,IF(K18&lt;2,1,IF(K18&lt;3,1.2,IF(K18&lt;4,1.4,IF(K18&lt;5,1.6,"-"))))))))</f>
        <v>-</v>
      </c>
      <c r="M18" s="14" t="str">
        <f>IF(F18="主讲",1,IF(F18="助课",0.3,"-"))</f>
        <v>-</v>
      </c>
      <c r="N18" s="14" t="str">
        <f>IF(E18="Z","（"&amp;I18&amp;"×"&amp;L18&amp;"×"&amp;J18&amp;")×"&amp;M18,"-")</f>
        <v>-</v>
      </c>
      <c r="O18" s="23" t="str">
        <f>IF(E18="Z",I18*J18*L18*M18,"-")</f>
        <v>-</v>
      </c>
      <c r="P18" s="14"/>
    </row>
    <row r="19" spans="1:16" s="5" customFormat="1" ht="21.75" customHeight="1">
      <c r="A19" s="57"/>
      <c r="B19" s="49" t="s">
        <v>34</v>
      </c>
      <c r="C19" s="14"/>
      <c r="D19" s="14" t="s">
        <v>32</v>
      </c>
      <c r="E19" s="14"/>
      <c r="F19" s="14" t="s">
        <v>32</v>
      </c>
      <c r="G19" s="14"/>
      <c r="H19" s="14"/>
      <c r="I19" s="14"/>
      <c r="J19" s="14" t="s">
        <v>32</v>
      </c>
      <c r="K19" s="24" t="str">
        <f t="shared" si="1"/>
        <v>-</v>
      </c>
      <c r="L19" s="14" t="str">
        <f>IF(K19&lt;0.3,8,IF(K19&lt;0.42,10,IF(K19&lt;0.51,12,IF(K19&lt;=1,14,IF(K19&lt;=1.5,16,IF(K19&lt;=2,18,IF(K19&lt;=2.5,20,"-")))))))</f>
        <v>-</v>
      </c>
      <c r="M19" s="14" t="s">
        <v>32</v>
      </c>
      <c r="N19" s="14" t="str">
        <f>IF(E19="Z","（"&amp;I19&amp;"×"&amp;L19&amp;")","-")</f>
        <v>-</v>
      </c>
      <c r="O19" s="23" t="str">
        <f>IF(E19="Z",I19*L19,"-")</f>
        <v>-</v>
      </c>
      <c r="P19" s="14"/>
    </row>
    <row r="20" spans="1:16" s="5" customFormat="1" ht="21.75" customHeight="1">
      <c r="A20" s="57"/>
      <c r="B20" s="50"/>
      <c r="C20" s="14"/>
      <c r="D20" s="14" t="s">
        <v>32</v>
      </c>
      <c r="E20" s="14"/>
      <c r="F20" s="14" t="s">
        <v>32</v>
      </c>
      <c r="G20" s="14"/>
      <c r="H20" s="14"/>
      <c r="I20" s="14"/>
      <c r="J20" s="14" t="s">
        <v>32</v>
      </c>
      <c r="K20" s="24" t="str">
        <f t="shared" si="1"/>
        <v>-</v>
      </c>
      <c r="L20" s="14" t="str">
        <f>IF(K20&lt;0.3,8,IF(K20&lt;0.42,10,IF(K20&lt;0.51,12,IF(K20&lt;=1,14,IF(K20&lt;=1.5,16,IF(K20&lt;=2,18,IF(K20&lt;=2.5,20,"-")))))))</f>
        <v>-</v>
      </c>
      <c r="M20" s="14" t="s">
        <v>32</v>
      </c>
      <c r="N20" s="14" t="str">
        <f>IF(E20="Z","（"&amp;I20&amp;"×"&amp;L20&amp;")","-")</f>
        <v>-</v>
      </c>
      <c r="O20" s="23" t="str">
        <f>IF(E20="Z",I20*L20,"-")</f>
        <v>-</v>
      </c>
      <c r="P20" s="14"/>
    </row>
    <row r="21" spans="1:16" s="5" customFormat="1" ht="21.75" customHeight="1">
      <c r="A21" s="57"/>
      <c r="B21" s="48" t="s">
        <v>38</v>
      </c>
      <c r="C21" s="14"/>
      <c r="D21" s="14"/>
      <c r="E21" s="14"/>
      <c r="F21" s="14" t="s">
        <v>32</v>
      </c>
      <c r="G21" s="14"/>
      <c r="H21" s="14"/>
      <c r="I21" s="14"/>
      <c r="J21" s="14"/>
      <c r="K21" s="24">
        <f>IF(H21&lt;50,1,IF(E21="Z",INT((H21/50)*100)/100,"-"))</f>
        <v>1</v>
      </c>
      <c r="L21" s="14" t="str">
        <f>IF(D21="校外",20,IF(D21="井下",25,IF(D21="野外",25,IF(D21="校内",10,IF(D21="分散",5,IF(D21="社会",5,"-"))))))</f>
        <v>-</v>
      </c>
      <c r="M21" s="14" t="s">
        <v>32</v>
      </c>
      <c r="N21" s="14" t="str">
        <f>IF(E21="Z","("&amp;I21&amp;"×"&amp;K21&amp;"×"&amp;L21&amp;")/"&amp;J21,"-")</f>
        <v>-</v>
      </c>
      <c r="O21" s="23" t="str">
        <f>IF(E21="Z",I21*K21*L21/J21,"-")</f>
        <v>-</v>
      </c>
      <c r="P21" s="14"/>
    </row>
    <row r="22" spans="1:16" s="5" customFormat="1" ht="21.75" customHeight="1">
      <c r="A22" s="57"/>
      <c r="B22" s="48"/>
      <c r="C22" s="14"/>
      <c r="D22" s="14"/>
      <c r="E22" s="14"/>
      <c r="F22" s="14" t="s">
        <v>32</v>
      </c>
      <c r="G22" s="14"/>
      <c r="H22" s="14"/>
      <c r="I22" s="14"/>
      <c r="J22" s="14"/>
      <c r="K22" s="24">
        <f>IF(H22&lt;50,1,IF(E22="Z",INT((H22/50)*100)/100,"-"))</f>
        <v>1</v>
      </c>
      <c r="L22" s="14" t="str">
        <f>IF(D22="校外",20,IF(D22="井下",25,IF(D22="野外",25,IF(D22="校内",10,IF(D22="分散",5,IF(D22="社会",5,"-"))))))</f>
        <v>-</v>
      </c>
      <c r="M22" s="14" t="s">
        <v>32</v>
      </c>
      <c r="N22" s="14" t="str">
        <f>IF(E22="Z","("&amp;I22&amp;"×"&amp;K22&amp;"×"&amp;L22&amp;")/"&amp;J22,"-")</f>
        <v>-</v>
      </c>
      <c r="O22" s="23" t="str">
        <f>IF(E22="Z",I22*K22*L22/J22,"-")</f>
        <v>-</v>
      </c>
      <c r="P22" s="14"/>
    </row>
    <row r="23" spans="1:16" s="5" customFormat="1" ht="21.75" customHeight="1">
      <c r="A23" s="57"/>
      <c r="B23" s="48" t="s">
        <v>42</v>
      </c>
      <c r="C23" s="14"/>
      <c r="D23" s="14"/>
      <c r="E23" s="14"/>
      <c r="F23" s="14" t="s">
        <v>32</v>
      </c>
      <c r="G23" s="14"/>
      <c r="H23" s="14"/>
      <c r="I23" s="14"/>
      <c r="J23" s="14" t="s">
        <v>32</v>
      </c>
      <c r="K23" s="24" t="str">
        <f>IF(E23="Z",INT((H23/50)*100)/100,"-")</f>
        <v>-</v>
      </c>
      <c r="L23" s="14" t="str">
        <f>IF(D23="论文",0.6,IF(D23="设计",0.9,"-"))</f>
        <v>-</v>
      </c>
      <c r="M23" s="14" t="s">
        <v>32</v>
      </c>
      <c r="N23" s="14" t="str">
        <f>IF(E23="Z","("&amp;I23&amp;"×"&amp;H23&amp;"×"&amp;L23&amp;")","-")</f>
        <v>-</v>
      </c>
      <c r="O23" s="23" t="str">
        <f>IF(E23="Z",I23*H23*L23,"-")</f>
        <v>-</v>
      </c>
      <c r="P23" s="14"/>
    </row>
    <row r="24" spans="1:16" s="5" customFormat="1" ht="21.75" customHeight="1">
      <c r="A24" s="57"/>
      <c r="B24" s="48"/>
      <c r="C24" s="14"/>
      <c r="D24" s="14"/>
      <c r="E24" s="14"/>
      <c r="F24" s="14" t="s">
        <v>32</v>
      </c>
      <c r="G24" s="14"/>
      <c r="H24" s="14"/>
      <c r="I24" s="14"/>
      <c r="J24" s="14" t="s">
        <v>32</v>
      </c>
      <c r="K24" s="24" t="str">
        <f>IF(E24="Z",INT((H24/50)*100)/100,"-")</f>
        <v>-</v>
      </c>
      <c r="L24" s="14" t="str">
        <f>IF(D24="论文",0.6,IF(D24="设计",0.9,"-"))</f>
        <v>-</v>
      </c>
      <c r="M24" s="14" t="s">
        <v>32</v>
      </c>
      <c r="N24" s="14" t="str">
        <f>IF(E24="Z","("&amp;I24&amp;"×"&amp;H24&amp;"×"&amp;L24&amp;")","-")</f>
        <v>-</v>
      </c>
      <c r="O24" s="23" t="str">
        <f>IF(E24="Z",I24*H24*L24,"-")</f>
        <v>-</v>
      </c>
      <c r="P24" s="14"/>
    </row>
    <row r="25" spans="1:16" s="5" customFormat="1" ht="21.75" customHeight="1">
      <c r="A25" s="48" t="s">
        <v>61</v>
      </c>
      <c r="B25" s="48"/>
      <c r="C25" s="14"/>
      <c r="D25" s="14"/>
      <c r="E25" s="14"/>
      <c r="F25" s="14"/>
      <c r="G25" s="14"/>
      <c r="H25" s="14"/>
      <c r="I25" s="14"/>
      <c r="J25" s="14"/>
      <c r="K25" s="24"/>
      <c r="L25" s="14"/>
      <c r="M25" s="14"/>
      <c r="N25" s="14"/>
      <c r="O25" s="23"/>
      <c r="P25" s="14"/>
    </row>
    <row r="26" spans="1:16" s="5" customFormat="1" ht="21.75" customHeight="1">
      <c r="A26" s="48"/>
      <c r="B26" s="48"/>
      <c r="C26" s="14"/>
      <c r="D26" s="14"/>
      <c r="E26" s="14"/>
      <c r="F26" s="14"/>
      <c r="G26" s="14"/>
      <c r="H26" s="14"/>
      <c r="I26" s="14"/>
      <c r="J26" s="14"/>
      <c r="K26" s="24"/>
      <c r="L26" s="14"/>
      <c r="M26" s="14"/>
      <c r="N26" s="14"/>
      <c r="O26" s="23"/>
      <c r="P26" s="14"/>
    </row>
    <row r="27" spans="1:16" s="5" customFormat="1" ht="21.75" customHeight="1">
      <c r="A27" s="48"/>
      <c r="B27" s="48"/>
      <c r="C27" s="14"/>
      <c r="D27" s="14"/>
      <c r="E27" s="14"/>
      <c r="F27" s="14"/>
      <c r="G27" s="14"/>
      <c r="H27" s="14"/>
      <c r="I27" s="14"/>
      <c r="J27" s="14"/>
      <c r="K27" s="24"/>
      <c r="L27" s="14"/>
      <c r="M27" s="14"/>
      <c r="N27" s="14"/>
      <c r="O27" s="23"/>
      <c r="P27" s="14"/>
    </row>
    <row r="28" spans="1:16" s="5" customFormat="1" ht="21.75" customHeight="1">
      <c r="A28" s="43"/>
      <c r="B28" s="43"/>
      <c r="C28" s="14"/>
      <c r="D28" s="14"/>
      <c r="E28" s="14"/>
      <c r="F28" s="14"/>
      <c r="G28" s="14"/>
      <c r="H28" s="14"/>
      <c r="I28" s="14"/>
      <c r="J28" s="14"/>
      <c r="K28" s="24"/>
      <c r="L28" s="14"/>
      <c r="M28" s="14"/>
      <c r="N28" s="14" t="s">
        <v>62</v>
      </c>
      <c r="O28" s="23">
        <f>SUM(O5:O27)</f>
        <v>0</v>
      </c>
      <c r="P28" s="14"/>
    </row>
    <row r="29" spans="1:16" s="5" customFormat="1" ht="45" customHeight="1">
      <c r="A29" s="43" t="s">
        <v>63</v>
      </c>
      <c r="B29" s="43"/>
      <c r="C29" s="14" t="s">
        <v>64</v>
      </c>
      <c r="D29" s="44" t="s">
        <v>65</v>
      </c>
      <c r="E29" s="44"/>
      <c r="F29" s="44"/>
      <c r="G29" s="44"/>
      <c r="H29" s="44"/>
      <c r="I29" s="44"/>
      <c r="J29" s="44"/>
      <c r="K29" s="46"/>
      <c r="L29" s="44"/>
      <c r="M29" s="44"/>
      <c r="N29" s="47" t="s">
        <v>66</v>
      </c>
      <c r="O29" s="47"/>
      <c r="P29" s="47"/>
    </row>
    <row r="30" spans="1:16" s="5" customFormat="1" ht="57" customHeight="1">
      <c r="A30" s="43"/>
      <c r="B30" s="43"/>
      <c r="C30" s="14" t="s">
        <v>67</v>
      </c>
      <c r="D30" s="44" t="s">
        <v>68</v>
      </c>
      <c r="E30" s="44"/>
      <c r="F30" s="44"/>
      <c r="G30" s="44"/>
      <c r="H30" s="44"/>
      <c r="I30" s="44"/>
      <c r="J30" s="44"/>
      <c r="K30" s="46"/>
      <c r="L30" s="44"/>
      <c r="M30" s="44"/>
      <c r="N30" s="47" t="s">
        <v>69</v>
      </c>
      <c r="O30" s="47"/>
      <c r="P30" s="47"/>
    </row>
    <row r="31" spans="1:16" s="6" customFormat="1" ht="45" customHeight="1">
      <c r="A31" s="43"/>
      <c r="B31" s="43"/>
      <c r="C31" s="14" t="s">
        <v>70</v>
      </c>
      <c r="D31" s="43"/>
      <c r="E31" s="43"/>
      <c r="F31" s="43"/>
      <c r="G31" s="43"/>
      <c r="H31" s="43"/>
      <c r="I31" s="43"/>
      <c r="J31" s="43"/>
      <c r="K31" s="52"/>
      <c r="L31" s="43"/>
      <c r="M31" s="43"/>
      <c r="N31" s="47" t="s">
        <v>71</v>
      </c>
      <c r="O31" s="47"/>
      <c r="P31" s="47"/>
    </row>
    <row r="32" spans="1:16" ht="75" customHeight="1">
      <c r="A32" s="43" t="s">
        <v>72</v>
      </c>
      <c r="B32" s="43"/>
      <c r="C32" s="53" t="s">
        <v>73</v>
      </c>
      <c r="D32" s="53"/>
      <c r="E32" s="53"/>
      <c r="F32" s="53"/>
      <c r="G32" s="53"/>
      <c r="H32" s="53"/>
      <c r="I32" s="53"/>
      <c r="J32" s="53"/>
      <c r="K32" s="55"/>
      <c r="L32" s="53"/>
      <c r="M32" s="53"/>
      <c r="N32" s="53"/>
      <c r="O32" s="53"/>
      <c r="P32" s="53"/>
    </row>
  </sheetData>
  <sheetProtection insertRows="0" deleteRows="0" selectLockedCells="1" selectUnlockedCells="1"/>
  <mergeCells count="31">
    <mergeCell ref="A5:A14"/>
    <mergeCell ref="A15:A24"/>
    <mergeCell ref="B5:B6"/>
    <mergeCell ref="B7:B8"/>
    <mergeCell ref="B9:B10"/>
    <mergeCell ref="B11:B12"/>
    <mergeCell ref="B13:B14"/>
    <mergeCell ref="B15:B16"/>
    <mergeCell ref="D30:M30"/>
    <mergeCell ref="N30:P30"/>
    <mergeCell ref="D31:M31"/>
    <mergeCell ref="N31:P31"/>
    <mergeCell ref="A32:B32"/>
    <mergeCell ref="C32:P32"/>
    <mergeCell ref="A4:B4"/>
    <mergeCell ref="A28:B28"/>
    <mergeCell ref="D29:M29"/>
    <mergeCell ref="N29:P29"/>
    <mergeCell ref="B17:B18"/>
    <mergeCell ref="B19:B20"/>
    <mergeCell ref="B21:B22"/>
    <mergeCell ref="B23:B24"/>
    <mergeCell ref="A25:B27"/>
    <mergeCell ref="A29:B31"/>
    <mergeCell ref="A1:P1"/>
    <mergeCell ref="A3:B3"/>
    <mergeCell ref="D3:E3"/>
    <mergeCell ref="F3:G3"/>
    <mergeCell ref="H3:I3"/>
    <mergeCell ref="L3:M3"/>
    <mergeCell ref="N3:P3"/>
  </mergeCells>
  <dataValidations count="6">
    <dataValidation type="list" allowBlank="1" showInputMessage="1" showErrorMessage="1" sqref="D5:D6 D15:D16">
      <formula1>"考试,考查"</formula1>
    </dataValidation>
    <dataValidation type="list" allowBlank="1" showInputMessage="1" showErrorMessage="1" sqref="E5:E24">
      <formula1>"B,Z"</formula1>
    </dataValidation>
    <dataValidation type="list" allowBlank="1" showInputMessage="1" showErrorMessage="1" sqref="F5:F8 F15:F18">
      <formula1>"主讲,助课"</formula1>
    </dataValidation>
    <dataValidation type="list" allowBlank="1" showInputMessage="1" showErrorMessage="1" sqref="D11:D12 D21:D22">
      <formula1>"校外,校内,野外,井下,分散,社会"</formula1>
    </dataValidation>
    <dataValidation type="list" allowBlank="1" showInputMessage="1" showErrorMessage="1" sqref="D13:D14 D23:D24">
      <formula1>"论文,设计"</formula1>
    </dataValidation>
    <dataValidation type="custom" allowBlank="1" showInputMessage="1" showErrorMessage="1" sqref="D7:D10 D17:D20 F9:F14 F19:F24 J9:J10 J13:J14 J19:J20 J23:J24 M9:M14 M19:M24">
      <formula1>"/"</formula1>
    </dataValidation>
  </dataValidations>
  <printOptions/>
  <pageMargins left="0.5" right="0.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jiaolijun</dc:creator>
  <cp:keywords/>
  <dc:description/>
  <cp:lastModifiedBy>Windows User</cp:lastModifiedBy>
  <cp:lastPrinted>2015-07-03T02:43:14Z</cp:lastPrinted>
  <dcterms:created xsi:type="dcterms:W3CDTF">2013-09-05T01:05:09Z</dcterms:created>
  <dcterms:modified xsi:type="dcterms:W3CDTF">2018-09-01T08:03:57Z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